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fm572\Downloads\"/>
    </mc:Choice>
  </mc:AlternateContent>
  <xr:revisionPtr revIDLastSave="0" documentId="8_{91E5E3FE-B208-440C-9D11-B643B89001B1}" xr6:coauthVersionLast="47" xr6:coauthVersionMax="47" xr10:uidLastSave="{00000000-0000-0000-0000-000000000000}"/>
  <bookViews>
    <workbookView xWindow="-110" yWindow="-110" windowWidth="19420" windowHeight="11500" activeTab="1" xr2:uid="{00000000-000D-0000-FFFF-FFFF00000000}"/>
  </bookViews>
  <sheets>
    <sheet name="Instructions" sheetId="2" r:id="rId1"/>
    <sheet name="FSM 27" sheetId="1" r:id="rId2"/>
  </sheets>
  <externalReferences>
    <externalReference r:id="rId3"/>
    <externalReference r:id="rId4"/>
    <externalReference r:id="rId5"/>
  </externalReferences>
  <definedNames>
    <definedName name="AssocDirect">'[1]Summary Data'!$G$31</definedName>
    <definedName name="Assocnsf">'[1]Summary Data'!$G$44</definedName>
    <definedName name="BAssoc">'[1]Summary Data'!$F$38</definedName>
    <definedName name="BAsst">'[1]Summary Data'!$F$39</definedName>
    <definedName name="BProf">'[1]Summary Data'!$F$37</definedName>
    <definedName name="BProfSal">'[1]Summary Data'!$I$43</definedName>
    <definedName name="CAssoc">'[1]Summary Data'!$E$38</definedName>
    <definedName name="CAssocSal">'[1]Summary Data'!$H$44</definedName>
    <definedName name="CAsst">'[1]Summary Data'!$E$39</definedName>
    <definedName name="CombDirectTotal">[2]ENTRBUD!$G$21</definedName>
    <definedName name="Cost_esc">'[1]Summary Data'!$B$36</definedName>
    <definedName name="CProf">'[1]Summary Data'!$E$37</definedName>
    <definedName name="FirstIndirect">[2]CHKLST!$O$42</definedName>
    <definedName name="FirstSubtotal">[2]FIRSTBUD!$I$39</definedName>
    <definedName name="FirstTotalDirect">[2]FIRSTBUD!$I$41</definedName>
    <definedName name="FY_2021_Awards_Issued__Executive_Level_II">#REF!</definedName>
    <definedName name="FY_2022_Awards_Issued__Executive_Level_II">#REF!</definedName>
    <definedName name="Ind_Rate">'[1]Summary Data'!$B$35</definedName>
    <definedName name="NIH_cap">'[1]Summary Data'!$B$37</definedName>
    <definedName name="_xlnm.Print_Area" localSheetId="1">'FSM 27'!$A$1:$BJ$28</definedName>
    <definedName name="_xlnm.Print_Titles" localSheetId="1">'FSM 27'!$A:$E,'FSM 27'!$1:$10</definedName>
    <definedName name="ProfDirect">'[1]Summary Data'!$G$30</definedName>
    <definedName name="Profnsf">'[1]Summary Data'!$G$43</definedName>
    <definedName name="rnsf_pi">'[3]PI costs and cohorts'!$F$5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M13" i="1"/>
  <c r="F13" i="1"/>
  <c r="H13" i="1" s="1"/>
  <c r="BC11" i="1"/>
  <c r="BC12" i="1"/>
  <c r="BC14" i="1"/>
  <c r="BC13" i="1"/>
  <c r="BD21" i="1"/>
  <c r="BD20" i="1"/>
  <c r="BD19" i="1"/>
  <c r="M16" i="1"/>
  <c r="K16" i="1" s="1"/>
  <c r="G16" i="1"/>
  <c r="B4" i="1"/>
  <c r="AP23" i="1"/>
  <c r="E2" i="1"/>
  <c r="F14" i="1" s="1"/>
  <c r="AT23" i="1"/>
  <c r="AX23" i="1"/>
  <c r="AD23" i="1"/>
  <c r="AH23" i="1"/>
  <c r="AL23" i="1"/>
  <c r="R23" i="1"/>
  <c r="V23" i="1"/>
  <c r="Z23" i="1"/>
  <c r="F23" i="1"/>
  <c r="J23" i="1"/>
  <c r="N23" i="1"/>
  <c r="M12" i="1"/>
  <c r="Q12" i="1" s="1"/>
  <c r="F12" i="1"/>
  <c r="H12" i="1" s="1"/>
  <c r="M11" i="1"/>
  <c r="J11" i="1" s="1"/>
  <c r="L11" i="1" s="1"/>
  <c r="F11" i="1"/>
  <c r="H11" i="1" s="1"/>
  <c r="M14" i="1"/>
  <c r="Q14" i="1" s="1"/>
  <c r="U14" i="1" s="1"/>
  <c r="Y14" i="1" s="1"/>
  <c r="AC14" i="1" s="1"/>
  <c r="D8" i="1"/>
  <c r="Q16" i="1" l="1"/>
  <c r="H14" i="1"/>
  <c r="J12" i="1"/>
  <c r="BB23" i="1"/>
  <c r="Q11" i="1"/>
  <c r="J14" i="1"/>
  <c r="L14" i="1" s="1"/>
  <c r="E3" i="1"/>
  <c r="G14" i="1" s="1"/>
  <c r="R14" i="1"/>
  <c r="T14" i="1" s="1"/>
  <c r="N14" i="1"/>
  <c r="Z14" i="1"/>
  <c r="AG14" i="1"/>
  <c r="U12" i="1"/>
  <c r="N12" i="1"/>
  <c r="V14" i="1"/>
  <c r="Q13" i="1"/>
  <c r="J13" i="1"/>
  <c r="W23" i="1" l="1"/>
  <c r="Y23" i="1" s="1"/>
  <c r="AA23" i="1"/>
  <c r="AC23" i="1" s="1"/>
  <c r="G13" i="1"/>
  <c r="F21" i="1" s="1"/>
  <c r="G21" i="1" s="1"/>
  <c r="I21" i="1" s="1"/>
  <c r="J16" i="1"/>
  <c r="L16" i="1" s="1"/>
  <c r="G12" i="1"/>
  <c r="F20" i="1" s="1"/>
  <c r="K11" i="1"/>
  <c r="J19" i="1" s="1"/>
  <c r="K19" i="1" s="1"/>
  <c r="M19" i="1" s="1"/>
  <c r="K23" i="1"/>
  <c r="M23" i="1" s="1"/>
  <c r="S14" i="1"/>
  <c r="U16" i="1"/>
  <c r="O16" i="1"/>
  <c r="N16" i="1" s="1"/>
  <c r="P16" i="1" s="1"/>
  <c r="AI23" i="1"/>
  <c r="AK23" i="1" s="1"/>
  <c r="AE23" i="1"/>
  <c r="AG23" i="1" s="1"/>
  <c r="K14" i="1"/>
  <c r="N11" i="1"/>
  <c r="U11" i="1"/>
  <c r="K12" i="1"/>
  <c r="J20" i="1" s="1"/>
  <c r="L12" i="1"/>
  <c r="F16" i="1"/>
  <c r="H16" i="1" s="1"/>
  <c r="O23" i="1"/>
  <c r="Q23" i="1" s="1"/>
  <c r="AM23" i="1"/>
  <c r="AO23" i="1" s="1"/>
  <c r="G11" i="1"/>
  <c r="F19" i="1" s="1"/>
  <c r="G23" i="1"/>
  <c r="I23" i="1" s="1"/>
  <c r="O14" i="1"/>
  <c r="P14" i="1"/>
  <c r="AQ23" i="1"/>
  <c r="AS23" i="1" s="1"/>
  <c r="AY23" i="1"/>
  <c r="BA23" i="1" s="1"/>
  <c r="AU23" i="1"/>
  <c r="AW23" i="1" s="1"/>
  <c r="S23" i="1"/>
  <c r="U23" i="1" s="1"/>
  <c r="P12" i="1"/>
  <c r="O12" i="1"/>
  <c r="N20" i="1" s="1"/>
  <c r="R12" i="1"/>
  <c r="Y12" i="1"/>
  <c r="AK14" i="1"/>
  <c r="AD14" i="1"/>
  <c r="X14" i="1"/>
  <c r="W14" i="1"/>
  <c r="AB14" i="1"/>
  <c r="AA14" i="1"/>
  <c r="L13" i="1"/>
  <c r="K13" i="1"/>
  <c r="U13" i="1"/>
  <c r="N13" i="1"/>
  <c r="H21" i="1" l="1"/>
  <c r="L19" i="1"/>
  <c r="Y16" i="1"/>
  <c r="S16" i="1"/>
  <c r="R16" i="1" s="1"/>
  <c r="T16" i="1" s="1"/>
  <c r="O11" i="1"/>
  <c r="N19" i="1" s="1"/>
  <c r="P11" i="1"/>
  <c r="H19" i="1"/>
  <c r="G19" i="1"/>
  <c r="I19" i="1" s="1"/>
  <c r="L20" i="1"/>
  <c r="K20" i="1"/>
  <c r="M20" i="1" s="1"/>
  <c r="BC23" i="1"/>
  <c r="Y11" i="1"/>
  <c r="R11" i="1"/>
  <c r="S12" i="1"/>
  <c r="R20" i="1" s="1"/>
  <c r="T12" i="1"/>
  <c r="AE14" i="1"/>
  <c r="AF14" i="1"/>
  <c r="G20" i="1"/>
  <c r="H20" i="1"/>
  <c r="F27" i="1"/>
  <c r="F17" i="1"/>
  <c r="V12" i="1"/>
  <c r="AC12" i="1"/>
  <c r="O20" i="1"/>
  <c r="Q20" i="1" s="1"/>
  <c r="P20" i="1"/>
  <c r="AO14" i="1"/>
  <c r="AH14" i="1"/>
  <c r="P13" i="1"/>
  <c r="O13" i="1"/>
  <c r="R13" i="1"/>
  <c r="Y13" i="1"/>
  <c r="J21" i="1"/>
  <c r="AC16" i="1" l="1"/>
  <c r="W16" i="1"/>
  <c r="V16" i="1" s="1"/>
  <c r="X16" i="1" s="1"/>
  <c r="AC11" i="1"/>
  <c r="V11" i="1"/>
  <c r="O19" i="1"/>
  <c r="Q19" i="1" s="1"/>
  <c r="P19" i="1"/>
  <c r="T11" i="1"/>
  <c r="S11" i="1"/>
  <c r="R19" i="1" s="1"/>
  <c r="AG12" i="1"/>
  <c r="Z12" i="1"/>
  <c r="AI14" i="1"/>
  <c r="AJ14" i="1"/>
  <c r="I20" i="1"/>
  <c r="G27" i="1"/>
  <c r="X12" i="1"/>
  <c r="W12" i="1"/>
  <c r="V20" i="1" s="1"/>
  <c r="AL14" i="1"/>
  <c r="AS14" i="1"/>
  <c r="H17" i="1"/>
  <c r="H24" i="1" s="1"/>
  <c r="H25" i="1" s="1"/>
  <c r="G17" i="1"/>
  <c r="F24" i="1"/>
  <c r="F25" i="1" s="1"/>
  <c r="H27" i="1"/>
  <c r="F28" i="1"/>
  <c r="H28" i="1" s="1"/>
  <c r="S20" i="1"/>
  <c r="U20" i="1" s="1"/>
  <c r="T20" i="1"/>
  <c r="K21" i="1"/>
  <c r="L21" i="1"/>
  <c r="J27" i="1"/>
  <c r="J17" i="1"/>
  <c r="V13" i="1"/>
  <c r="AC13" i="1"/>
  <c r="S13" i="1"/>
  <c r="T13" i="1"/>
  <c r="N21" i="1"/>
  <c r="AA16" i="1" l="1"/>
  <c r="Z16" i="1" s="1"/>
  <c r="AB16" i="1" s="1"/>
  <c r="AG16" i="1"/>
  <c r="W11" i="1"/>
  <c r="V19" i="1" s="1"/>
  <c r="X11" i="1"/>
  <c r="Z11" i="1"/>
  <c r="AG11" i="1"/>
  <c r="S19" i="1"/>
  <c r="U19" i="1" s="1"/>
  <c r="T19" i="1"/>
  <c r="I17" i="1"/>
  <c r="I24" i="1" s="1"/>
  <c r="I25" i="1" s="1"/>
  <c r="G24" i="1"/>
  <c r="G25" i="1" s="1"/>
  <c r="G28" i="1"/>
  <c r="AP14" i="1"/>
  <c r="AW14" i="1"/>
  <c r="AB12" i="1"/>
  <c r="AA12" i="1"/>
  <c r="Z20" i="1" s="1"/>
  <c r="AM14" i="1"/>
  <c r="AN14" i="1"/>
  <c r="X20" i="1"/>
  <c r="W20" i="1"/>
  <c r="Y20" i="1" s="1"/>
  <c r="AK12" i="1"/>
  <c r="AD12" i="1"/>
  <c r="O21" i="1"/>
  <c r="P21" i="1"/>
  <c r="N27" i="1"/>
  <c r="N17" i="1"/>
  <c r="R21" i="1"/>
  <c r="Z13" i="1"/>
  <c r="AG13" i="1"/>
  <c r="X13" i="1"/>
  <c r="W13" i="1"/>
  <c r="K17" i="1"/>
  <c r="L17" i="1"/>
  <c r="L24" i="1" s="1"/>
  <c r="L25" i="1" s="1"/>
  <c r="J24" i="1"/>
  <c r="J25" i="1" s="1"/>
  <c r="J28" i="1"/>
  <c r="L28" i="1" s="1"/>
  <c r="L27" i="1"/>
  <c r="M21" i="1"/>
  <c r="K27" i="1"/>
  <c r="AE16" i="1" l="1"/>
  <c r="AD16" i="1" s="1"/>
  <c r="AF16" i="1" s="1"/>
  <c r="AK16" i="1"/>
  <c r="AB11" i="1"/>
  <c r="AA11" i="1"/>
  <c r="Z19" i="1" s="1"/>
  <c r="AK11" i="1"/>
  <c r="AD11" i="1"/>
  <c r="X19" i="1"/>
  <c r="W19" i="1"/>
  <c r="Y19" i="1" s="1"/>
  <c r="AB20" i="1"/>
  <c r="AA20" i="1"/>
  <c r="AC20" i="1" s="1"/>
  <c r="AF12" i="1"/>
  <c r="AE12" i="1"/>
  <c r="AD20" i="1" s="1"/>
  <c r="AT14" i="1"/>
  <c r="BA14" i="1"/>
  <c r="AO12" i="1"/>
  <c r="AH12" i="1"/>
  <c r="AQ14" i="1"/>
  <c r="AR14" i="1"/>
  <c r="K28" i="1"/>
  <c r="M17" i="1"/>
  <c r="M24" i="1" s="1"/>
  <c r="M25" i="1" s="1"/>
  <c r="K24" i="1"/>
  <c r="K25" i="1" s="1"/>
  <c r="V21" i="1"/>
  <c r="AK13" i="1"/>
  <c r="AD13" i="1"/>
  <c r="AB13" i="1"/>
  <c r="AA13" i="1"/>
  <c r="S21" i="1"/>
  <c r="T21" i="1"/>
  <c r="R27" i="1"/>
  <c r="R17" i="1"/>
  <c r="O17" i="1"/>
  <c r="P17" i="1"/>
  <c r="P24" i="1" s="1"/>
  <c r="P25" i="1" s="1"/>
  <c r="N24" i="1"/>
  <c r="N25" i="1" s="1"/>
  <c r="P27" i="1"/>
  <c r="N28" i="1"/>
  <c r="P28" i="1" s="1"/>
  <c r="Q21" i="1"/>
  <c r="O27" i="1"/>
  <c r="AO16" i="1" l="1"/>
  <c r="AI16" i="1"/>
  <c r="AH16" i="1" s="1"/>
  <c r="AJ16" i="1" s="1"/>
  <c r="AF11" i="1"/>
  <c r="AE11" i="1"/>
  <c r="AD19" i="1" s="1"/>
  <c r="AO11" i="1"/>
  <c r="AH11" i="1"/>
  <c r="AB19" i="1"/>
  <c r="AA19" i="1"/>
  <c r="AC19" i="1" s="1"/>
  <c r="AL12" i="1"/>
  <c r="AS12" i="1"/>
  <c r="BG14" i="1"/>
  <c r="BJ14" i="1" s="1"/>
  <c r="AX14" i="1"/>
  <c r="O28" i="1"/>
  <c r="AV14" i="1"/>
  <c r="AU14" i="1"/>
  <c r="AF20" i="1"/>
  <c r="AE20" i="1"/>
  <c r="AG20" i="1" s="1"/>
  <c r="AJ12" i="1"/>
  <c r="AI12" i="1"/>
  <c r="AH20" i="1" s="1"/>
  <c r="Q17" i="1"/>
  <c r="O24" i="1"/>
  <c r="O25" i="1" s="1"/>
  <c r="S17" i="1"/>
  <c r="T17" i="1"/>
  <c r="T24" i="1" s="1"/>
  <c r="T25" i="1" s="1"/>
  <c r="R24" i="1"/>
  <c r="R25" i="1" s="1"/>
  <c r="R28" i="1"/>
  <c r="T28" i="1" s="1"/>
  <c r="T27" i="1"/>
  <c r="U21" i="1"/>
  <c r="S27" i="1"/>
  <c r="Z21" i="1"/>
  <c r="AE13" i="1"/>
  <c r="AF13" i="1"/>
  <c r="AH13" i="1"/>
  <c r="AO13" i="1"/>
  <c r="X21" i="1"/>
  <c r="W21" i="1"/>
  <c r="V27" i="1"/>
  <c r="V17" i="1"/>
  <c r="AM16" i="1" l="1"/>
  <c r="AL16" i="1" s="1"/>
  <c r="AN16" i="1" s="1"/>
  <c r="AS16" i="1"/>
  <c r="AJ11" i="1"/>
  <c r="AI11" i="1"/>
  <c r="AH19" i="1" s="1"/>
  <c r="AL11" i="1"/>
  <c r="AS11" i="1"/>
  <c r="AF19" i="1"/>
  <c r="AE19" i="1"/>
  <c r="AG19" i="1" s="1"/>
  <c r="AI20" i="1"/>
  <c r="AK20" i="1" s="1"/>
  <c r="AJ20" i="1"/>
  <c r="AZ14" i="1"/>
  <c r="BF14" i="1" s="1"/>
  <c r="BB14" i="1"/>
  <c r="AY14" i="1"/>
  <c r="BE14" i="1" s="1"/>
  <c r="AW12" i="1"/>
  <c r="AP12" i="1"/>
  <c r="S28" i="1"/>
  <c r="AN12" i="1"/>
  <c r="AM12" i="1"/>
  <c r="AL20" i="1" s="1"/>
  <c r="X17" i="1"/>
  <c r="X24" i="1" s="1"/>
  <c r="X25" i="1" s="1"/>
  <c r="W17" i="1"/>
  <c r="V24" i="1"/>
  <c r="X27" i="1"/>
  <c r="V28" i="1"/>
  <c r="X28" i="1" s="1"/>
  <c r="Y21" i="1"/>
  <c r="W27" i="1"/>
  <c r="AS13" i="1"/>
  <c r="AL13" i="1"/>
  <c r="AI13" i="1"/>
  <c r="AJ13" i="1"/>
  <c r="AD21" i="1"/>
  <c r="AA21" i="1"/>
  <c r="AB21" i="1"/>
  <c r="Z27" i="1"/>
  <c r="Z17" i="1"/>
  <c r="U17" i="1"/>
  <c r="U24" i="1" s="1"/>
  <c r="U25" i="1" s="1"/>
  <c r="S24" i="1"/>
  <c r="S25" i="1" s="1"/>
  <c r="Q24" i="1"/>
  <c r="Q25" i="1" s="1"/>
  <c r="W28" i="1" l="1"/>
  <c r="AW16" i="1"/>
  <c r="AQ16" i="1"/>
  <c r="AP16" i="1" s="1"/>
  <c r="AR16" i="1" s="1"/>
  <c r="AP11" i="1"/>
  <c r="AW11" i="1"/>
  <c r="AM11" i="1"/>
  <c r="AL19" i="1" s="1"/>
  <c r="AN11" i="1"/>
  <c r="AI19" i="1"/>
  <c r="AK19" i="1" s="1"/>
  <c r="AJ19" i="1"/>
  <c r="BA12" i="1"/>
  <c r="AT12" i="1"/>
  <c r="AR12" i="1"/>
  <c r="AQ12" i="1"/>
  <c r="AP20" i="1" s="1"/>
  <c r="AM20" i="1"/>
  <c r="AO20" i="1" s="1"/>
  <c r="AN20" i="1"/>
  <c r="AA17" i="1"/>
  <c r="AB17" i="1"/>
  <c r="AB24" i="1" s="1"/>
  <c r="AB25" i="1" s="1"/>
  <c r="Z24" i="1"/>
  <c r="Z25" i="1" s="1"/>
  <c r="Z28" i="1"/>
  <c r="AB28" i="1" s="1"/>
  <c r="AB27" i="1"/>
  <c r="AC21" i="1"/>
  <c r="AA27" i="1"/>
  <c r="AE21" i="1"/>
  <c r="AF21" i="1"/>
  <c r="AD27" i="1"/>
  <c r="AD17" i="1"/>
  <c r="AH21" i="1"/>
  <c r="AN13" i="1"/>
  <c r="AM13" i="1"/>
  <c r="AW13" i="1"/>
  <c r="AP13" i="1"/>
  <c r="V25" i="1"/>
  <c r="V30" i="1"/>
  <c r="Y17" i="1"/>
  <c r="Y24" i="1" s="1"/>
  <c r="Y25" i="1" s="1"/>
  <c r="W24" i="1"/>
  <c r="W25" i="1" s="1"/>
  <c r="BA16" i="1" l="1"/>
  <c r="AU16" i="1"/>
  <c r="AT16" i="1" s="1"/>
  <c r="AV16" i="1" s="1"/>
  <c r="AN19" i="1"/>
  <c r="AM19" i="1"/>
  <c r="AO19" i="1" s="1"/>
  <c r="AT11" i="1"/>
  <c r="BA11" i="1"/>
  <c r="AQ11" i="1"/>
  <c r="AP19" i="1" s="1"/>
  <c r="AR11" i="1"/>
  <c r="AA28" i="1"/>
  <c r="AV12" i="1"/>
  <c r="AU12" i="1"/>
  <c r="AT20" i="1" s="1"/>
  <c r="AX12" i="1"/>
  <c r="BG12" i="1"/>
  <c r="BJ12" i="1" s="1"/>
  <c r="AQ20" i="1"/>
  <c r="AS20" i="1" s="1"/>
  <c r="AR20" i="1"/>
  <c r="AR13" i="1"/>
  <c r="AQ13" i="1"/>
  <c r="AT13" i="1"/>
  <c r="BA13" i="1"/>
  <c r="AL21" i="1"/>
  <c r="AJ21" i="1"/>
  <c r="AI21" i="1"/>
  <c r="AH27" i="1"/>
  <c r="AH17" i="1"/>
  <c r="AE17" i="1"/>
  <c r="AF17" i="1"/>
  <c r="AF24" i="1" s="1"/>
  <c r="AF25" i="1" s="1"/>
  <c r="AD24" i="1"/>
  <c r="AD25" i="1" s="1"/>
  <c r="AD28" i="1"/>
  <c r="AF28" i="1" s="1"/>
  <c r="AF27" i="1"/>
  <c r="AG21" i="1"/>
  <c r="AE27" i="1"/>
  <c r="AC17" i="1"/>
  <c r="AA24" i="1"/>
  <c r="AA25" i="1" s="1"/>
  <c r="AY16" i="1" l="1"/>
  <c r="AX16" i="1" s="1"/>
  <c r="AQ19" i="1"/>
  <c r="AS19" i="1" s="1"/>
  <c r="AR19" i="1"/>
  <c r="AX11" i="1"/>
  <c r="BG11" i="1"/>
  <c r="BJ11" i="1" s="1"/>
  <c r="AV11" i="1"/>
  <c r="AU11" i="1"/>
  <c r="AT19" i="1" s="1"/>
  <c r="AE28" i="1"/>
  <c r="AV20" i="1"/>
  <c r="AU20" i="1"/>
  <c r="AW20" i="1" s="1"/>
  <c r="AZ12" i="1"/>
  <c r="BF12" i="1" s="1"/>
  <c r="BB12" i="1"/>
  <c r="AY12" i="1"/>
  <c r="AC24" i="1"/>
  <c r="AC25" i="1" s="1"/>
  <c r="AG17" i="1"/>
  <c r="AG24" i="1" s="1"/>
  <c r="AG25" i="1" s="1"/>
  <c r="AE24" i="1"/>
  <c r="AE25" i="1" s="1"/>
  <c r="AJ17" i="1"/>
  <c r="AJ24" i="1" s="1"/>
  <c r="AJ25" i="1" s="1"/>
  <c r="AI17" i="1"/>
  <c r="AH24" i="1"/>
  <c r="AH25" i="1" s="1"/>
  <c r="AH28" i="1"/>
  <c r="AJ28" i="1" s="1"/>
  <c r="AJ27" i="1"/>
  <c r="AK21" i="1"/>
  <c r="AI27" i="1"/>
  <c r="AM21" i="1"/>
  <c r="AN21" i="1"/>
  <c r="AL27" i="1"/>
  <c r="AL17" i="1"/>
  <c r="AX13" i="1"/>
  <c r="BG13" i="1"/>
  <c r="BJ13" i="1" s="1"/>
  <c r="AV13" i="1"/>
  <c r="AU13" i="1"/>
  <c r="AP21" i="1"/>
  <c r="BB16" i="1" l="1"/>
  <c r="AZ16" i="1"/>
  <c r="BC16" i="1" s="1"/>
  <c r="AV19" i="1"/>
  <c r="AU19" i="1"/>
  <c r="AW19" i="1" s="1"/>
  <c r="AY11" i="1"/>
  <c r="BB11" i="1"/>
  <c r="AZ11" i="1"/>
  <c r="BF11" i="1" s="1"/>
  <c r="BE12" i="1"/>
  <c r="AX20" i="1"/>
  <c r="AI28" i="1"/>
  <c r="AR21" i="1"/>
  <c r="AQ21" i="1"/>
  <c r="AP27" i="1"/>
  <c r="AP17" i="1"/>
  <c r="AT21" i="1"/>
  <c r="AY13" i="1"/>
  <c r="BB13" i="1"/>
  <c r="AZ13" i="1"/>
  <c r="AM17" i="1"/>
  <c r="AN17" i="1"/>
  <c r="AN24" i="1" s="1"/>
  <c r="AN25" i="1" s="1"/>
  <c r="AL24" i="1"/>
  <c r="AL25" i="1" s="1"/>
  <c r="AN27" i="1"/>
  <c r="AL28" i="1"/>
  <c r="AN28" i="1" s="1"/>
  <c r="AO21" i="1"/>
  <c r="AM27" i="1"/>
  <c r="AK17" i="1"/>
  <c r="AK24" i="1" s="1"/>
  <c r="AK25" i="1" s="1"/>
  <c r="AI24" i="1"/>
  <c r="AI25" i="1" s="1"/>
  <c r="BE11" i="1" l="1"/>
  <c r="AX19" i="1"/>
  <c r="AM28" i="1"/>
  <c r="BB20" i="1"/>
  <c r="AZ20" i="1"/>
  <c r="AY20" i="1"/>
  <c r="AO17" i="1"/>
  <c r="AM24" i="1"/>
  <c r="AM25" i="1" s="1"/>
  <c r="BF13" i="1"/>
  <c r="BE13" i="1"/>
  <c r="AX21" i="1"/>
  <c r="AV21" i="1"/>
  <c r="AU21" i="1"/>
  <c r="AT27" i="1"/>
  <c r="AT17" i="1"/>
  <c r="AQ17" i="1"/>
  <c r="AR17" i="1"/>
  <c r="AR24" i="1" s="1"/>
  <c r="AR25" i="1" s="1"/>
  <c r="AP24" i="1"/>
  <c r="AP25" i="1" s="1"/>
  <c r="AR27" i="1"/>
  <c r="AP28" i="1"/>
  <c r="AR28" i="1" s="1"/>
  <c r="AS21" i="1"/>
  <c r="AQ27" i="1"/>
  <c r="AY19" i="1" l="1"/>
  <c r="AZ19" i="1"/>
  <c r="BB19" i="1"/>
  <c r="BA20" i="1"/>
  <c r="BC20" i="1" s="1"/>
  <c r="BE20" i="1"/>
  <c r="BF20" i="1" s="1"/>
  <c r="AQ28" i="1"/>
  <c r="AS17" i="1"/>
  <c r="AQ24" i="1"/>
  <c r="AQ25" i="1" s="1"/>
  <c r="AV17" i="1"/>
  <c r="AV24" i="1" s="1"/>
  <c r="AV25" i="1" s="1"/>
  <c r="AU17" i="1"/>
  <c r="AT24" i="1"/>
  <c r="AT25" i="1" s="1"/>
  <c r="AV27" i="1"/>
  <c r="AT28" i="1"/>
  <c r="AV28" i="1" s="1"/>
  <c r="AW21" i="1"/>
  <c r="AU27" i="1"/>
  <c r="BB21" i="1"/>
  <c r="AY21" i="1"/>
  <c r="AZ21" i="1"/>
  <c r="AX27" i="1"/>
  <c r="AX17" i="1"/>
  <c r="AO24" i="1"/>
  <c r="AO25" i="1" s="1"/>
  <c r="BE19" i="1" l="1"/>
  <c r="BF19" i="1" s="1"/>
  <c r="BA19" i="1"/>
  <c r="BC19" i="1" s="1"/>
  <c r="AU28" i="1"/>
  <c r="AZ17" i="1"/>
  <c r="AZ24" i="1" s="1"/>
  <c r="AZ25" i="1" s="1"/>
  <c r="AY17" i="1"/>
  <c r="BB17" i="1"/>
  <c r="BB24" i="1" s="1"/>
  <c r="BB25" i="1" s="1"/>
  <c r="AX24" i="1"/>
  <c r="AX25" i="1" s="1"/>
  <c r="BB27" i="1"/>
  <c r="AX28" i="1"/>
  <c r="AZ27" i="1"/>
  <c r="BE21" i="1"/>
  <c r="BF21" i="1" s="1"/>
  <c r="BA21" i="1"/>
  <c r="BC21" i="1" s="1"/>
  <c r="AY27" i="1"/>
  <c r="AW17" i="1"/>
  <c r="AW24" i="1" s="1"/>
  <c r="AW25" i="1" s="1"/>
  <c r="AU24" i="1"/>
  <c r="AU25" i="1" s="1"/>
  <c r="AS24" i="1"/>
  <c r="AS25" i="1" s="1"/>
  <c r="AY28" i="1" l="1"/>
  <c r="BB28" i="1"/>
  <c r="AZ28" i="1"/>
  <c r="BA17" i="1"/>
  <c r="AY24" i="1"/>
  <c r="AY25" i="1" s="1"/>
  <c r="BA24" i="1" l="1"/>
  <c r="BA25" i="1" s="1"/>
  <c r="BC17" i="1"/>
</calcChain>
</file>

<file path=xl/sharedStrings.xml><?xml version="1.0" encoding="utf-8"?>
<sst xmlns="http://schemas.openxmlformats.org/spreadsheetml/2006/main" count="155" uniqueCount="82">
  <si>
    <t>Employee Name:</t>
  </si>
  <si>
    <t>Doe, Jane</t>
  </si>
  <si>
    <t>Annual Base Salary (NU+NMG):</t>
  </si>
  <si>
    <t>Monthly Base Salary (NU + NMG):</t>
  </si>
  <si>
    <t>Worksheet Date:</t>
  </si>
  <si>
    <t>% APPT</t>
  </si>
  <si>
    <t>$ SALARY</t>
  </si>
  <si>
    <t>NU</t>
  </si>
  <si>
    <t>NMG commitment (from faculty appt letter)</t>
  </si>
  <si>
    <t>(1.5 days clinic/week)</t>
  </si>
  <si>
    <t>NMG</t>
  </si>
  <si>
    <t>Months</t>
  </si>
  <si>
    <t>Award</t>
  </si>
  <si>
    <t>Award Period</t>
  </si>
  <si>
    <t>Committed</t>
  </si>
  <si>
    <t>Acct Short Name/Grant No.</t>
  </si>
  <si>
    <t>CHART STRING</t>
  </si>
  <si>
    <t>Salary Cap (Y/N)</t>
  </si>
  <si>
    <t>Applicable Cap*</t>
  </si>
  <si>
    <t>SEPTEMBER</t>
  </si>
  <si>
    <t>OCTOBER</t>
  </si>
  <si>
    <t>NOV</t>
  </si>
  <si>
    <t>DEC</t>
  </si>
  <si>
    <t>JAN</t>
  </si>
  <si>
    <t>FEB</t>
  </si>
  <si>
    <t>MAR</t>
  </si>
  <si>
    <t>APR</t>
  </si>
  <si>
    <t>MAY</t>
  </si>
  <si>
    <t>JUN</t>
  </si>
  <si>
    <t>JUL</t>
  </si>
  <si>
    <t>AUG</t>
  </si>
  <si>
    <t>TOTAL SALARY CHARGES</t>
  </si>
  <si>
    <t>Charged</t>
  </si>
  <si>
    <t>% Base Salary</t>
  </si>
  <si>
    <t>% NU Salary</t>
  </si>
  <si>
    <t>% Effort</t>
  </si>
  <si>
    <t>Effort</t>
  </si>
  <si>
    <t>Project Period/ Additional Comments</t>
  </si>
  <si>
    <t>Net Dif</t>
  </si>
  <si>
    <t>NU GRANT CHART STRINGS</t>
  </si>
  <si>
    <t>salary</t>
  </si>
  <si>
    <t>% base</t>
  </si>
  <si>
    <t>% NU</t>
  </si>
  <si>
    <t>% effort</t>
  </si>
  <si>
    <t>NIH Project</t>
  </si>
  <si>
    <t>610-1234567-60031000</t>
  </si>
  <si>
    <t>Y</t>
  </si>
  <si>
    <t>9/1/15 - 8/31/19</t>
  </si>
  <si>
    <t>NIH Flowthrough Project</t>
  </si>
  <si>
    <t>620-1234567-60032000</t>
  </si>
  <si>
    <t>9/1/16 - 8/31/20</t>
  </si>
  <si>
    <r>
      <rPr>
        <b/>
        <sz val="8"/>
        <color indexed="10"/>
        <rFont val="Arial"/>
        <family val="2"/>
      </rPr>
      <t xml:space="preserve">Projected NEW </t>
    </r>
    <r>
      <rPr>
        <b/>
        <sz val="8"/>
        <rFont val="Arial"/>
        <family val="2"/>
      </rPr>
      <t>NIH Project</t>
    </r>
  </si>
  <si>
    <t>610-1234567-TBN (HIGH CONFIDENCE IN FUNDING)</t>
  </si>
  <si>
    <t>9/1/17-08/31/21</t>
  </si>
  <si>
    <t>Non-Federal Project</t>
  </si>
  <si>
    <t>650-1234567-60033000</t>
  </si>
  <si>
    <t>N</t>
  </si>
  <si>
    <t>N/A</t>
  </si>
  <si>
    <t>9/1/18-08/31/22</t>
  </si>
  <si>
    <t>NU NON-GRANT CHART STRINGS</t>
  </si>
  <si>
    <t>Chair Appointment</t>
  </si>
  <si>
    <t>450-1234567</t>
  </si>
  <si>
    <t>Operating Fund</t>
  </si>
  <si>
    <t>110-1234567 (calculated as base salary not covered by grant + NMG)</t>
  </si>
  <si>
    <r>
      <t>COST SHARE CHART STRINGS (</t>
    </r>
    <r>
      <rPr>
        <b/>
        <i/>
        <sz val="12"/>
        <color indexed="20"/>
        <rFont val="Arial"/>
        <family val="2"/>
      </rPr>
      <t>grant % effort = % cost share + % base</t>
    </r>
    <r>
      <rPr>
        <b/>
        <sz val="12"/>
        <color indexed="20"/>
        <rFont val="Arial"/>
        <family val="2"/>
      </rPr>
      <t>)</t>
    </r>
  </si>
  <si>
    <t>Cost Share for NIH Project</t>
  </si>
  <si>
    <t>192-1234567-60031000</t>
  </si>
  <si>
    <t>Cost Share for NIH Flowthrough Project</t>
  </si>
  <si>
    <t>192-1234567-60032000</t>
  </si>
  <si>
    <r>
      <t xml:space="preserve">Cost Share for </t>
    </r>
    <r>
      <rPr>
        <b/>
        <sz val="8"/>
        <color indexed="10"/>
        <rFont val="Arial"/>
        <family val="2"/>
      </rPr>
      <t>Projected NEW</t>
    </r>
    <r>
      <rPr>
        <b/>
        <sz val="8"/>
        <rFont val="Arial"/>
        <family val="2"/>
      </rPr>
      <t xml:space="preserve"> NIH Project</t>
    </r>
  </si>
  <si>
    <t>192-1234567-TBN (HIGH CONFIDENCE IN FUNDING)</t>
  </si>
  <si>
    <t>NMG SALARY</t>
  </si>
  <si>
    <t>710 NMG</t>
  </si>
  <si>
    <t>1.5 clinic days/week</t>
  </si>
  <si>
    <t>Monthly Total</t>
  </si>
  <si>
    <t>BUDGET NOTE: Cost sharing charged to endowment acct</t>
  </si>
  <si>
    <t>TOTAL CHARGE TO COST SHARE (192s)</t>
  </si>
  <si>
    <t>Total charge to ENDOWMENT</t>
  </si>
  <si>
    <t>(after transfer to cost share)</t>
  </si>
  <si>
    <t>*Applicable Salary Cap may vary within budget year and/or fiscal year.  See NIH Salary Cap Reference tab for details.</t>
  </si>
  <si>
    <t>October 1, 2025 through December 31, 2025 (Executive Level II): $225,700</t>
  </si>
  <si>
    <t>January 1, 2026 through September 30, 2026 (Executive Level II): $228,000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</si>
</sst>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
  </numFmts>
  <fonts count="38" x14ac:knownFonts="1">
    <font>
      <sz val="10"/>
      <name val="Arial"/>
    </font>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color indexed="20"/>
      <name val="Arial"/>
      <family val="2"/>
    </font>
    <font>
      <b/>
      <sz val="16"/>
      <color indexed="20"/>
      <name val="Arial"/>
      <family val="2"/>
    </font>
    <font>
      <sz val="12"/>
      <name val="Arial"/>
      <family val="2"/>
    </font>
    <font>
      <b/>
      <sz val="14"/>
      <name val="Arial"/>
      <family val="2"/>
    </font>
    <font>
      <b/>
      <sz val="12"/>
      <name val="Arial"/>
      <family val="2"/>
    </font>
    <font>
      <b/>
      <sz val="8"/>
      <name val="Arial"/>
      <family val="2"/>
    </font>
    <font>
      <b/>
      <sz val="10"/>
      <name val="Arial"/>
      <family val="2"/>
    </font>
    <font>
      <b/>
      <sz val="10"/>
      <name val="Arial"/>
      <family val="2"/>
    </font>
    <font>
      <sz val="10"/>
      <name val="Arial"/>
      <family val="2"/>
    </font>
    <font>
      <b/>
      <sz val="8"/>
      <color indexed="10"/>
      <name val="Arial"/>
      <family val="2"/>
    </font>
    <font>
      <b/>
      <i/>
      <sz val="12"/>
      <color indexed="20"/>
      <name val="Arial"/>
      <family val="2"/>
    </font>
    <font>
      <b/>
      <sz val="8"/>
      <color indexed="20"/>
      <name val="Arial"/>
      <family val="2"/>
    </font>
    <font>
      <sz val="10"/>
      <name val="Arial"/>
      <family val="2"/>
    </font>
    <font>
      <sz val="10"/>
      <name val="Arial"/>
    </font>
    <font>
      <u/>
      <sz val="10"/>
      <color theme="10"/>
      <name val="Arial"/>
      <family val="2"/>
    </font>
    <font>
      <sz val="11"/>
      <color theme="1"/>
      <name val="Calibri"/>
      <family val="2"/>
      <scheme val="minor"/>
    </font>
    <font>
      <b/>
      <sz val="10"/>
      <color rgb="FFFF0000"/>
      <name val="Arial"/>
      <family val="2"/>
    </font>
    <font>
      <b/>
      <sz val="12"/>
      <color theme="7" tint="-0.499984740745262"/>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3"/>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47">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5" fillId="20" borderId="1" applyNumberFormat="0" applyAlignment="0" applyProtection="0"/>
    <xf numFmtId="0" fontId="5" fillId="20" borderId="1"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43" fontId="1" fillId="0" borderId="0" applyFont="0" applyFill="0" applyBorder="0" applyAlignment="0" applyProtection="0"/>
    <xf numFmtId="43" fontId="3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3" fillId="0" borderId="0" applyFont="0" applyFill="0" applyBorder="0" applyAlignment="0" applyProtection="0"/>
    <xf numFmtId="43" fontId="28" fillId="0" borderId="0" applyFont="0" applyFill="0" applyBorder="0" applyAlignment="0" applyProtection="0"/>
    <xf numFmtId="43" fontId="33" fillId="0" borderId="0" applyFont="0" applyFill="0" applyBorder="0" applyAlignment="0" applyProtection="0"/>
    <xf numFmtId="44" fontId="28"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28" fillId="0" borderId="0"/>
    <xf numFmtId="0" fontId="35" fillId="0" borderId="0"/>
    <xf numFmtId="0" fontId="1" fillId="23" borderId="7" applyNumberFormat="0" applyFont="0" applyAlignment="0" applyProtection="0"/>
    <xf numFmtId="0" fontId="32"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33" fillId="23" borderId="7" applyNumberFormat="0" applyFon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9" fontId="1"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33">
    <xf numFmtId="0" fontId="0" fillId="0" borderId="0" xfId="0"/>
    <xf numFmtId="0" fontId="20" fillId="0" borderId="0" xfId="0" applyFont="1" applyAlignment="1">
      <alignment horizontal="right" vertical="center" wrapText="1"/>
    </xf>
    <xf numFmtId="0" fontId="22" fillId="0" borderId="0" xfId="0" applyFont="1" applyAlignment="1">
      <alignment vertical="center"/>
    </xf>
    <xf numFmtId="0" fontId="0" fillId="0" borderId="0" xfId="0" applyAlignment="1">
      <alignment vertical="center"/>
    </xf>
    <xf numFmtId="0" fontId="25" fillId="0" borderId="0" xfId="0" applyFont="1" applyAlignment="1">
      <alignment horizontal="right" vertical="center" wrapText="1"/>
    </xf>
    <xf numFmtId="0" fontId="0" fillId="0" borderId="0" xfId="0" applyAlignment="1">
      <alignment horizontal="center" vertical="center"/>
    </xf>
    <xf numFmtId="0" fontId="27" fillId="0" borderId="0" xfId="0" applyFont="1" applyAlignment="1">
      <alignment horizontal="center" vertical="center"/>
    </xf>
    <xf numFmtId="43" fontId="1" fillId="0" borderId="11" xfId="82" applyFont="1" applyFill="1" applyBorder="1" applyAlignment="1">
      <alignment vertical="center"/>
    </xf>
    <xf numFmtId="0" fontId="0" fillId="0" borderId="10" xfId="0" applyBorder="1" applyAlignment="1">
      <alignment vertical="center"/>
    </xf>
    <xf numFmtId="43" fontId="1" fillId="0" borderId="10" xfId="82" applyFill="1" applyBorder="1" applyAlignment="1">
      <alignment vertical="center"/>
    </xf>
    <xf numFmtId="164" fontId="0" fillId="0" borderId="10" xfId="0" applyNumberFormat="1" applyBorder="1" applyAlignment="1">
      <alignment vertical="center"/>
    </xf>
    <xf numFmtId="9" fontId="0" fillId="0" borderId="0" xfId="0" applyNumberFormat="1" applyAlignment="1">
      <alignment vertical="center"/>
    </xf>
    <xf numFmtId="43" fontId="1" fillId="0" borderId="10" xfId="82" applyFont="1" applyFill="1" applyBorder="1" applyAlignment="1">
      <alignment vertical="center"/>
    </xf>
    <xf numFmtId="164" fontId="1" fillId="0" borderId="10" xfId="0" applyNumberFormat="1" applyFont="1" applyBorder="1" applyAlignment="1">
      <alignment vertical="center"/>
    </xf>
    <xf numFmtId="0" fontId="1" fillId="0" borderId="10" xfId="0" applyFont="1" applyBorder="1" applyAlignment="1">
      <alignment vertical="center"/>
    </xf>
    <xf numFmtId="0" fontId="1" fillId="0" borderId="0" xfId="0" applyFont="1" applyAlignment="1">
      <alignment vertical="center"/>
    </xf>
    <xf numFmtId="43" fontId="0" fillId="0" borderId="11" xfId="0" applyNumberFormat="1" applyBorder="1" applyAlignment="1">
      <alignment vertical="center"/>
    </xf>
    <xf numFmtId="0" fontId="0" fillId="0" borderId="12" xfId="0" applyBorder="1" applyAlignment="1">
      <alignment vertical="center"/>
    </xf>
    <xf numFmtId="43" fontId="0" fillId="0" borderId="0" xfId="0" applyNumberFormat="1" applyAlignment="1">
      <alignment vertical="center"/>
    </xf>
    <xf numFmtId="0" fontId="27" fillId="24" borderId="0" xfId="0" applyFont="1" applyFill="1" applyAlignment="1">
      <alignment horizontal="center" vertical="center"/>
    </xf>
    <xf numFmtId="0" fontId="25" fillId="0" borderId="13" xfId="0" applyFont="1" applyBorder="1" applyAlignment="1">
      <alignment horizontal="right" vertical="center" wrapText="1"/>
    </xf>
    <xf numFmtId="0" fontId="20" fillId="24" borderId="14" xfId="0" applyFont="1" applyFill="1" applyBorder="1" applyAlignment="1">
      <alignment horizontal="left" vertical="center"/>
    </xf>
    <xf numFmtId="0" fontId="25" fillId="0" borderId="14" xfId="0" applyFont="1" applyBorder="1" applyAlignment="1">
      <alignment horizontal="right" vertical="center" wrapText="1"/>
    </xf>
    <xf numFmtId="0" fontId="29" fillId="0" borderId="14" xfId="0" applyFont="1" applyBorder="1" applyAlignment="1">
      <alignment horizontal="left" vertical="center"/>
    </xf>
    <xf numFmtId="0" fontId="20" fillId="0" borderId="0" xfId="0" applyFont="1" applyAlignment="1">
      <alignment horizontal="right" vertical="center"/>
    </xf>
    <xf numFmtId="0" fontId="25" fillId="0" borderId="10" xfId="0" applyFont="1" applyBorder="1" applyAlignment="1">
      <alignment horizontal="right" vertical="center" wrapText="1"/>
    </xf>
    <xf numFmtId="0" fontId="25" fillId="24" borderId="10" xfId="0" applyFont="1" applyFill="1" applyBorder="1" applyAlignment="1">
      <alignment horizontal="right" vertical="center" wrapText="1"/>
    </xf>
    <xf numFmtId="43" fontId="1" fillId="0" borderId="10" xfId="82" applyFont="1" applyFill="1" applyBorder="1" applyAlignment="1">
      <alignment horizontal="center" vertical="center"/>
    </xf>
    <xf numFmtId="43" fontId="1" fillId="0" borderId="12" xfId="82" applyFont="1" applyFill="1" applyBorder="1" applyAlignment="1">
      <alignment horizontal="center" vertical="center"/>
    </xf>
    <xf numFmtId="0" fontId="1" fillId="0" borderId="12" xfId="0" applyFont="1" applyBorder="1" applyAlignment="1">
      <alignment vertical="center"/>
    </xf>
    <xf numFmtId="0" fontId="25" fillId="0" borderId="15" xfId="0" applyFont="1" applyBorder="1" applyAlignment="1">
      <alignment horizontal="right" vertical="center" wrapText="1"/>
    </xf>
    <xf numFmtId="0" fontId="0" fillId="0" borderId="16" xfId="0" applyBorder="1" applyAlignment="1">
      <alignment vertical="center"/>
    </xf>
    <xf numFmtId="0" fontId="25" fillId="0" borderId="17" xfId="0" applyFont="1" applyBorder="1" applyAlignment="1">
      <alignment horizontal="right" vertical="center" wrapText="1"/>
    </xf>
    <xf numFmtId="0" fontId="25" fillId="24" borderId="18" xfId="0" applyFont="1" applyFill="1" applyBorder="1" applyAlignment="1">
      <alignment horizontal="right" vertical="center" wrapText="1"/>
    </xf>
    <xf numFmtId="0" fontId="25" fillId="0" borderId="18" xfId="0" applyFont="1" applyBorder="1" applyAlignment="1">
      <alignment horizontal="right" vertical="center" wrapText="1"/>
    </xf>
    <xf numFmtId="0" fontId="25" fillId="0" borderId="19" xfId="0" applyFont="1" applyBorder="1" applyAlignment="1">
      <alignment horizontal="right" vertical="center" wrapText="1"/>
    </xf>
    <xf numFmtId="0" fontId="25" fillId="0" borderId="20" xfId="0" applyFont="1" applyBorder="1" applyAlignment="1">
      <alignment horizontal="right" vertical="center" wrapText="1"/>
    </xf>
    <xf numFmtId="43" fontId="1" fillId="0" borderId="21" xfId="82" applyFont="1" applyFill="1" applyBorder="1" applyAlignment="1">
      <alignment vertical="center"/>
    </xf>
    <xf numFmtId="43" fontId="1" fillId="0" borderId="21" xfId="82" applyFont="1" applyFill="1" applyBorder="1" applyAlignment="1">
      <alignment horizontal="center" vertical="center"/>
    </xf>
    <xf numFmtId="0" fontId="1" fillId="0" borderId="21" xfId="0" applyFont="1" applyBorder="1" applyAlignment="1">
      <alignment vertical="center"/>
    </xf>
    <xf numFmtId="0" fontId="0" fillId="0" borderId="11" xfId="0" applyBorder="1" applyAlignment="1">
      <alignment vertical="center"/>
    </xf>
    <xf numFmtId="0" fontId="1" fillId="0" borderId="11" xfId="0" applyFont="1" applyBorder="1" applyAlignment="1">
      <alignment vertical="center"/>
    </xf>
    <xf numFmtId="43" fontId="0" fillId="0" borderId="22" xfId="0" applyNumberFormat="1" applyBorder="1" applyAlignment="1">
      <alignment vertical="center"/>
    </xf>
    <xf numFmtId="14" fontId="20" fillId="0" borderId="0" xfId="0" applyNumberFormat="1" applyFont="1" applyAlignment="1">
      <alignment horizontal="center" vertical="center" wrapText="1"/>
    </xf>
    <xf numFmtId="10" fontId="20" fillId="0" borderId="0" xfId="131" applyNumberFormat="1" applyFont="1" applyFill="1" applyAlignment="1">
      <alignment horizontal="center" vertical="center" wrapText="1"/>
    </xf>
    <xf numFmtId="43" fontId="22" fillId="0" borderId="0" xfId="0" applyNumberFormat="1" applyFont="1" applyAlignment="1">
      <alignment vertical="center"/>
    </xf>
    <xf numFmtId="14" fontId="20" fillId="0" borderId="0" xfId="0" applyNumberFormat="1" applyFont="1" applyAlignment="1">
      <alignment horizontal="right" vertical="center"/>
    </xf>
    <xf numFmtId="39" fontId="20" fillId="0" borderId="0" xfId="82" applyNumberFormat="1" applyFont="1" applyFill="1" applyBorder="1" applyAlignment="1">
      <alignment vertical="center"/>
    </xf>
    <xf numFmtId="0" fontId="25" fillId="25" borderId="18" xfId="0" applyFont="1" applyFill="1" applyBorder="1" applyAlignment="1">
      <alignment horizontal="right" vertical="center" wrapText="1"/>
    </xf>
    <xf numFmtId="0" fontId="25" fillId="25" borderId="14" xfId="0" applyFont="1" applyFill="1" applyBorder="1" applyAlignment="1">
      <alignment horizontal="right" vertical="center" wrapText="1"/>
    </xf>
    <xf numFmtId="0" fontId="25" fillId="25" borderId="10" xfId="0" applyFont="1" applyFill="1" applyBorder="1" applyAlignment="1">
      <alignment horizontal="right" vertical="center" wrapText="1"/>
    </xf>
    <xf numFmtId="0" fontId="20" fillId="25" borderId="14" xfId="0" applyFont="1" applyFill="1" applyBorder="1" applyAlignment="1">
      <alignment horizontal="left" vertical="center"/>
    </xf>
    <xf numFmtId="0" fontId="0" fillId="0" borderId="23" xfId="0" applyBorder="1" applyAlignment="1">
      <alignment vertical="center"/>
    </xf>
    <xf numFmtId="0" fontId="0" fillId="0" borderId="24" xfId="0" applyBorder="1" applyAlignment="1">
      <alignment vertical="center"/>
    </xf>
    <xf numFmtId="0" fontId="25" fillId="0" borderId="13" xfId="0" applyFont="1" applyBorder="1" applyAlignment="1">
      <alignment horizontal="right" vertical="center"/>
    </xf>
    <xf numFmtId="43" fontId="0" fillId="0" borderId="13" xfId="0" applyNumberFormat="1" applyBorder="1" applyAlignment="1">
      <alignment vertical="center"/>
    </xf>
    <xf numFmtId="43" fontId="0" fillId="0" borderId="25" xfId="0" applyNumberFormat="1" applyBorder="1" applyAlignment="1">
      <alignment vertical="center"/>
    </xf>
    <xf numFmtId="0" fontId="25" fillId="0" borderId="26" xfId="0" applyFont="1" applyBorder="1" applyAlignment="1">
      <alignment horizontal="right" vertical="center" wrapText="1"/>
    </xf>
    <xf numFmtId="43" fontId="0" fillId="0" borderId="26" xfId="0" applyNumberFormat="1" applyBorder="1" applyAlignment="1">
      <alignment vertical="center"/>
    </xf>
    <xf numFmtId="43" fontId="0" fillId="0" borderId="27" xfId="0" applyNumberFormat="1" applyBorder="1" applyAlignment="1">
      <alignment vertical="center"/>
    </xf>
    <xf numFmtId="0" fontId="25" fillId="0" borderId="24" xfId="0" applyFont="1" applyBorder="1" applyAlignment="1">
      <alignment horizontal="right" vertical="center" wrapText="1"/>
    </xf>
    <xf numFmtId="0" fontId="1" fillId="0" borderId="13" xfId="0" applyFont="1" applyBorder="1" applyAlignment="1">
      <alignment vertical="center"/>
    </xf>
    <xf numFmtId="0" fontId="22" fillId="0" borderId="0" xfId="0" applyFont="1" applyAlignment="1">
      <alignment horizontal="center" vertical="center"/>
    </xf>
    <xf numFmtId="10" fontId="0" fillId="0" borderId="10" xfId="0" applyNumberFormat="1" applyBorder="1" applyAlignment="1">
      <alignment vertical="center"/>
    </xf>
    <xf numFmtId="43" fontId="1" fillId="25" borderId="10" xfId="82" applyFill="1" applyBorder="1" applyAlignment="1">
      <alignment vertical="center"/>
    </xf>
    <xf numFmtId="164" fontId="1" fillId="0" borderId="10" xfId="0" applyNumberFormat="1" applyFont="1" applyBorder="1" applyAlignment="1">
      <alignment horizontal="center" vertical="center"/>
    </xf>
    <xf numFmtId="0" fontId="28" fillId="0" borderId="10" xfId="0" applyFont="1" applyBorder="1" applyAlignment="1">
      <alignment horizontal="center" vertical="center"/>
    </xf>
    <xf numFmtId="0" fontId="0" fillId="0" borderId="10" xfId="0" applyBorder="1" applyAlignment="1">
      <alignment horizontal="center" vertical="center"/>
    </xf>
    <xf numFmtId="0" fontId="23" fillId="0" borderId="0" xfId="0" applyFont="1" applyAlignment="1">
      <alignment vertical="center"/>
    </xf>
    <xf numFmtId="0" fontId="24" fillId="0" borderId="0" xfId="0" applyFont="1" applyAlignment="1">
      <alignment horizontal="center" vertical="center"/>
    </xf>
    <xf numFmtId="43" fontId="1" fillId="0" borderId="29" xfId="82" applyFont="1" applyFill="1" applyBorder="1" applyAlignment="1">
      <alignment vertical="center"/>
    </xf>
    <xf numFmtId="0" fontId="26" fillId="0" borderId="10" xfId="0" applyFont="1" applyBorder="1" applyAlignment="1">
      <alignment horizontal="center" vertical="center" wrapText="1"/>
    </xf>
    <xf numFmtId="9" fontId="1" fillId="0" borderId="10" xfId="82" applyNumberFormat="1" applyFont="1" applyFill="1" applyBorder="1" applyAlignment="1">
      <alignment horizontal="center" vertical="center"/>
    </xf>
    <xf numFmtId="10" fontId="1" fillId="0" borderId="10" xfId="131" applyNumberFormat="1" applyFont="1" applyFill="1" applyBorder="1" applyAlignment="1">
      <alignment horizontal="center" vertical="center"/>
    </xf>
    <xf numFmtId="10" fontId="1" fillId="25" borderId="12" xfId="82" applyNumberFormat="1" applyFont="1" applyFill="1" applyBorder="1" applyAlignment="1">
      <alignment horizontal="center" vertical="center"/>
    </xf>
    <xf numFmtId="10" fontId="1" fillId="0" borderId="12" xfId="82" applyNumberFormat="1" applyFont="1" applyFill="1" applyBorder="1" applyAlignment="1">
      <alignment horizontal="center" vertical="center"/>
    </xf>
    <xf numFmtId="164" fontId="1" fillId="0" borderId="12" xfId="82"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164" fontId="1" fillId="0" borderId="10" xfId="131" applyNumberFormat="1" applyFont="1" applyFill="1" applyBorder="1" applyAlignment="1">
      <alignment horizontal="center" vertical="center"/>
    </xf>
    <xf numFmtId="43" fontId="0" fillId="0" borderId="12" xfId="0" applyNumberFormat="1" applyBorder="1" applyAlignment="1">
      <alignment horizontal="center" vertical="center"/>
    </xf>
    <xf numFmtId="164" fontId="0" fillId="0" borderId="16" xfId="0" applyNumberFormat="1" applyBorder="1" applyAlignment="1">
      <alignment horizontal="center" vertical="center"/>
    </xf>
    <xf numFmtId="10" fontId="1" fillId="0" borderId="16" xfId="131" applyNumberFormat="1" applyFont="1" applyFill="1" applyBorder="1" applyAlignment="1">
      <alignment horizontal="center" vertical="center"/>
    </xf>
    <xf numFmtId="0" fontId="0" fillId="0" borderId="23" xfId="0" applyBorder="1" applyAlignment="1">
      <alignment horizontal="center" vertical="center"/>
    </xf>
    <xf numFmtId="43" fontId="26" fillId="0" borderId="21" xfId="82" applyFont="1" applyFill="1" applyBorder="1" applyAlignment="1">
      <alignment vertical="center"/>
    </xf>
    <xf numFmtId="9" fontId="1" fillId="0" borderId="12" xfId="82" applyNumberFormat="1" applyFont="1" applyFill="1" applyBorder="1" applyAlignment="1">
      <alignment horizontal="center" vertical="center"/>
    </xf>
    <xf numFmtId="0" fontId="1" fillId="0" borderId="14" xfId="0" applyFont="1" applyBorder="1" applyAlignment="1">
      <alignment vertical="center"/>
    </xf>
    <xf numFmtId="0" fontId="26" fillId="0" borderId="30" xfId="0" applyFont="1" applyBorder="1" applyAlignment="1">
      <alignment horizontal="center" vertical="center"/>
    </xf>
    <xf numFmtId="0" fontId="26" fillId="0" borderId="15" xfId="0" applyFont="1" applyBorder="1" applyAlignment="1">
      <alignment horizontal="center" vertical="center"/>
    </xf>
    <xf numFmtId="0" fontId="26" fillId="0" borderId="15" xfId="0" applyFont="1" applyBorder="1" applyAlignment="1">
      <alignment horizontal="center" vertical="center" wrapText="1"/>
    </xf>
    <xf numFmtId="0" fontId="24" fillId="0" borderId="15" xfId="0" applyFont="1" applyBorder="1" applyAlignment="1">
      <alignment horizontal="center" vertical="center"/>
    </xf>
    <xf numFmtId="0" fontId="0" fillId="0" borderId="31" xfId="0" applyBorder="1" applyAlignment="1">
      <alignment vertical="center"/>
    </xf>
    <xf numFmtId="0" fontId="26" fillId="0" borderId="11" xfId="0" applyFont="1" applyBorder="1" applyAlignment="1">
      <alignment horizontal="center" vertical="center" wrapText="1"/>
    </xf>
    <xf numFmtId="0" fontId="26" fillId="0" borderId="12" xfId="0" applyFont="1" applyBorder="1" applyAlignment="1">
      <alignment vertical="center"/>
    </xf>
    <xf numFmtId="43" fontId="1" fillId="0" borderId="11" xfId="82" applyFill="1" applyBorder="1" applyAlignment="1">
      <alignment vertical="center"/>
    </xf>
    <xf numFmtId="164" fontId="0" fillId="0" borderId="12" xfId="0" applyNumberFormat="1" applyBorder="1" applyAlignment="1">
      <alignment vertical="center"/>
    </xf>
    <xf numFmtId="164" fontId="1" fillId="0" borderId="12" xfId="0" applyNumberFormat="1" applyFont="1" applyBorder="1" applyAlignment="1">
      <alignment vertical="center"/>
    </xf>
    <xf numFmtId="0" fontId="0" fillId="0" borderId="22" xfId="0" applyBorder="1" applyAlignment="1">
      <alignment vertical="center"/>
    </xf>
    <xf numFmtId="0" fontId="0" fillId="0" borderId="16" xfId="0" applyBorder="1" applyAlignment="1">
      <alignment horizontal="center" vertical="center"/>
    </xf>
    <xf numFmtId="164" fontId="0" fillId="25" borderId="10" xfId="0" applyNumberFormat="1" applyFill="1" applyBorder="1" applyAlignment="1">
      <alignment vertical="center"/>
    </xf>
    <xf numFmtId="0" fontId="28" fillId="25" borderId="10" xfId="0" applyFont="1" applyFill="1" applyBorder="1" applyAlignment="1">
      <alignment horizontal="center" vertical="center" wrapText="1"/>
    </xf>
    <xf numFmtId="164" fontId="0" fillId="25" borderId="10" xfId="0" applyNumberFormat="1" applyFill="1" applyBorder="1" applyAlignment="1">
      <alignment vertical="center" wrapText="1"/>
    </xf>
    <xf numFmtId="0" fontId="28" fillId="25" borderId="10" xfId="0" applyFont="1" applyFill="1" applyBorder="1" applyAlignment="1">
      <alignment horizontal="center" vertical="center"/>
    </xf>
    <xf numFmtId="43" fontId="1" fillId="25" borderId="10" xfId="82" applyFont="1" applyFill="1" applyBorder="1" applyAlignment="1">
      <alignment horizontal="center" vertical="center"/>
    </xf>
    <xf numFmtId="0" fontId="21" fillId="25" borderId="0" xfId="0" applyFont="1" applyFill="1" applyAlignment="1">
      <alignment horizontal="right" vertical="center" wrapText="1"/>
    </xf>
    <xf numFmtId="10" fontId="20" fillId="25" borderId="0" xfId="131" applyNumberFormat="1" applyFont="1" applyFill="1" applyAlignment="1">
      <alignment horizontal="center" vertical="center" wrapText="1"/>
    </xf>
    <xf numFmtId="39" fontId="20" fillId="25" borderId="0" xfId="82" applyNumberFormat="1" applyFont="1" applyFill="1" applyBorder="1" applyAlignment="1">
      <alignment vertical="center"/>
    </xf>
    <xf numFmtId="0" fontId="30" fillId="25" borderId="0" xfId="0" applyFont="1" applyFill="1" applyAlignment="1">
      <alignment horizontal="right" vertical="center" wrapText="1"/>
    </xf>
    <xf numFmtId="43" fontId="1" fillId="25" borderId="21" xfId="82" applyFont="1" applyFill="1" applyBorder="1" applyAlignment="1">
      <alignment vertical="center"/>
    </xf>
    <xf numFmtId="43" fontId="1" fillId="25" borderId="21" xfId="82" applyFont="1" applyFill="1" applyBorder="1" applyAlignment="1">
      <alignment horizontal="center" vertical="center"/>
    </xf>
    <xf numFmtId="0" fontId="31" fillId="0" borderId="0" xfId="0" applyFont="1" applyAlignment="1">
      <alignment horizontal="right" vertical="center" wrapText="1"/>
    </xf>
    <xf numFmtId="43" fontId="0" fillId="0" borderId="10" xfId="0" applyNumberFormat="1" applyBorder="1" applyAlignment="1">
      <alignment vertical="center"/>
    </xf>
    <xf numFmtId="43" fontId="0" fillId="25" borderId="10" xfId="82" applyFont="1" applyFill="1" applyBorder="1" applyAlignment="1">
      <alignment horizontal="center" vertical="center"/>
    </xf>
    <xf numFmtId="0" fontId="36" fillId="0" borderId="28" xfId="0" applyFont="1" applyBorder="1" applyAlignment="1">
      <alignment horizontal="center" vertical="center" wrapText="1"/>
    </xf>
    <xf numFmtId="0" fontId="36" fillId="0" borderId="0" xfId="0" applyFont="1" applyAlignment="1">
      <alignment horizontal="left" vertical="center"/>
    </xf>
    <xf numFmtId="39" fontId="37" fillId="0" borderId="0" xfId="0" applyNumberFormat="1" applyFont="1" applyAlignment="1">
      <alignment vertical="center"/>
    </xf>
    <xf numFmtId="0" fontId="22" fillId="0" borderId="15" xfId="0" applyFont="1" applyBorder="1" applyAlignment="1">
      <alignment horizontal="center" vertical="center"/>
    </xf>
    <xf numFmtId="0" fontId="26" fillId="0" borderId="28" xfId="0" applyFont="1" applyBorder="1" applyAlignment="1">
      <alignment horizontal="center" vertical="center" wrapText="1" shrinkToFit="1"/>
    </xf>
    <xf numFmtId="0" fontId="26" fillId="0" borderId="10" xfId="0" applyFont="1" applyBorder="1" applyAlignment="1">
      <alignment horizontal="center" vertical="center"/>
    </xf>
    <xf numFmtId="0" fontId="26" fillId="0" borderId="0" xfId="0" applyFont="1" applyAlignment="1">
      <alignment horizontal="center" vertical="center"/>
    </xf>
    <xf numFmtId="0" fontId="26" fillId="24" borderId="10" xfId="0" applyFont="1" applyFill="1" applyBorder="1" applyAlignment="1">
      <alignment horizontal="center" vertical="center"/>
    </xf>
    <xf numFmtId="0" fontId="26" fillId="24" borderId="21"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0" xfId="0" applyFont="1" applyFill="1" applyBorder="1" applyAlignment="1">
      <alignment horizontal="center" vertical="center" wrapText="1"/>
    </xf>
    <xf numFmtId="0" fontId="26" fillId="24" borderId="12" xfId="0" applyFont="1" applyFill="1" applyBorder="1" applyAlignment="1">
      <alignment horizontal="center" vertical="center" wrapText="1"/>
    </xf>
    <xf numFmtId="0" fontId="26" fillId="24" borderId="12" xfId="0" applyFont="1" applyFill="1" applyBorder="1" applyAlignment="1">
      <alignment horizontal="center" vertical="center"/>
    </xf>
    <xf numFmtId="0" fontId="26" fillId="24" borderId="0" xfId="0" applyFont="1" applyFill="1" applyAlignment="1">
      <alignment horizontal="center" vertical="center"/>
    </xf>
    <xf numFmtId="0" fontId="26" fillId="25" borderId="14" xfId="0" applyFont="1" applyFill="1" applyBorder="1" applyAlignment="1">
      <alignment horizontal="right" vertical="center" wrapText="1"/>
    </xf>
    <xf numFmtId="0" fontId="26" fillId="24" borderId="11" xfId="0" applyFont="1" applyFill="1" applyBorder="1" applyAlignment="1">
      <alignment horizontal="left" vertical="center"/>
    </xf>
    <xf numFmtId="10" fontId="26" fillId="24" borderId="10" xfId="0" applyNumberFormat="1" applyFont="1" applyFill="1" applyBorder="1" applyAlignment="1">
      <alignment horizontal="center" vertical="center" wrapText="1"/>
    </xf>
    <xf numFmtId="0" fontId="26" fillId="0" borderId="30" xfId="0" applyFont="1" applyBorder="1" applyAlignment="1">
      <alignment horizontal="center" vertical="center"/>
    </xf>
    <xf numFmtId="0" fontId="0" fillId="0" borderId="15" xfId="0" applyBorder="1" applyAlignment="1">
      <alignment horizontal="center" vertical="center"/>
    </xf>
    <xf numFmtId="0" fontId="0" fillId="0" borderId="31" xfId="0" applyBorder="1" applyAlignment="1">
      <alignment horizontal="center" vertical="center"/>
    </xf>
  </cellXfs>
  <cellStyles count="147">
    <cellStyle name="20% - Accent1" xfId="1" builtinId="30" customBuiltin="1"/>
    <cellStyle name="20% - Accent1 2" xfId="2" xr:uid="{00000000-0005-0000-0000-000001000000}"/>
    <cellStyle name="20% - Accent1 3" xfId="3" xr:uid="{00000000-0005-0000-0000-000002000000}"/>
    <cellStyle name="20% - Accent2" xfId="4" builtinId="34" customBuiltin="1"/>
    <cellStyle name="20% - Accent2 2" xfId="5" xr:uid="{00000000-0005-0000-0000-000004000000}"/>
    <cellStyle name="20% - Accent2 3" xfId="6" xr:uid="{00000000-0005-0000-0000-000005000000}"/>
    <cellStyle name="20% - Accent3" xfId="7" builtinId="38" customBuiltin="1"/>
    <cellStyle name="20% - Accent3 2" xfId="8" xr:uid="{00000000-0005-0000-0000-000007000000}"/>
    <cellStyle name="20% - Accent3 3" xfId="9" xr:uid="{00000000-0005-0000-0000-000008000000}"/>
    <cellStyle name="20% - Accent4" xfId="10" builtinId="42" customBuiltin="1"/>
    <cellStyle name="20% - Accent4 2" xfId="11" xr:uid="{00000000-0005-0000-0000-00000A000000}"/>
    <cellStyle name="20% - Accent4 3" xfId="12" xr:uid="{00000000-0005-0000-0000-00000B000000}"/>
    <cellStyle name="20% - Accent5" xfId="13" builtinId="46" customBuiltin="1"/>
    <cellStyle name="20% - Accent5 2" xfId="14" xr:uid="{00000000-0005-0000-0000-00000D000000}"/>
    <cellStyle name="20% - Accent5 3" xfId="15" xr:uid="{00000000-0005-0000-0000-00000E000000}"/>
    <cellStyle name="20% - Accent6" xfId="16" builtinId="50" customBuiltin="1"/>
    <cellStyle name="20% - Accent6 2" xfId="17" xr:uid="{00000000-0005-0000-0000-000010000000}"/>
    <cellStyle name="20% - Accent6 3" xfId="18" xr:uid="{00000000-0005-0000-0000-000011000000}"/>
    <cellStyle name="40% - Accent1" xfId="19" builtinId="31" customBuiltin="1"/>
    <cellStyle name="40% - Accent1 2" xfId="20" xr:uid="{00000000-0005-0000-0000-000013000000}"/>
    <cellStyle name="40% - Accent1 3" xfId="21" xr:uid="{00000000-0005-0000-0000-000014000000}"/>
    <cellStyle name="40% - Accent2" xfId="22" builtinId="35" customBuiltin="1"/>
    <cellStyle name="40% - Accent2 2" xfId="23" xr:uid="{00000000-0005-0000-0000-000016000000}"/>
    <cellStyle name="40% - Accent2 3" xfId="24" xr:uid="{00000000-0005-0000-0000-000017000000}"/>
    <cellStyle name="40% - Accent3" xfId="25" builtinId="39" customBuiltin="1"/>
    <cellStyle name="40% - Accent3 2" xfId="26" xr:uid="{00000000-0005-0000-0000-000019000000}"/>
    <cellStyle name="40% - Accent3 3" xfId="27" xr:uid="{00000000-0005-0000-0000-00001A000000}"/>
    <cellStyle name="40% - Accent4" xfId="28" builtinId="43" customBuiltin="1"/>
    <cellStyle name="40% - Accent4 2" xfId="29" xr:uid="{00000000-0005-0000-0000-00001C000000}"/>
    <cellStyle name="40% - Accent4 3" xfId="30" xr:uid="{00000000-0005-0000-0000-00001D000000}"/>
    <cellStyle name="40% - Accent5" xfId="31" builtinId="47" customBuiltin="1"/>
    <cellStyle name="40% - Accent5 2" xfId="32" xr:uid="{00000000-0005-0000-0000-00001F000000}"/>
    <cellStyle name="40% - Accent5 3" xfId="33" xr:uid="{00000000-0005-0000-0000-000020000000}"/>
    <cellStyle name="40% - Accent6" xfId="34" builtinId="51" customBuiltin="1"/>
    <cellStyle name="40% - Accent6 2" xfId="35" xr:uid="{00000000-0005-0000-0000-000022000000}"/>
    <cellStyle name="40% - Accent6 3" xfId="36" xr:uid="{00000000-0005-0000-0000-000023000000}"/>
    <cellStyle name="60% - Accent1" xfId="37" builtinId="32" customBuiltin="1"/>
    <cellStyle name="60% - Accent1 2" xfId="38" xr:uid="{00000000-0005-0000-0000-000025000000}"/>
    <cellStyle name="60% - Accent1 3" xfId="39" xr:uid="{00000000-0005-0000-0000-000026000000}"/>
    <cellStyle name="60% - Accent2" xfId="40" builtinId="36" customBuiltin="1"/>
    <cellStyle name="60% - Accent2 2" xfId="41" xr:uid="{00000000-0005-0000-0000-000028000000}"/>
    <cellStyle name="60% - Accent2 3" xfId="42" xr:uid="{00000000-0005-0000-0000-000029000000}"/>
    <cellStyle name="60% - Accent3" xfId="43" builtinId="40" customBuiltin="1"/>
    <cellStyle name="60% - Accent3 2" xfId="44" xr:uid="{00000000-0005-0000-0000-00002B000000}"/>
    <cellStyle name="60% - Accent3 3" xfId="45" xr:uid="{00000000-0005-0000-0000-00002C000000}"/>
    <cellStyle name="60% - Accent4" xfId="46" builtinId="44" customBuiltin="1"/>
    <cellStyle name="60% - Accent4 2" xfId="47" xr:uid="{00000000-0005-0000-0000-00002E000000}"/>
    <cellStyle name="60% - Accent4 3" xfId="48" xr:uid="{00000000-0005-0000-0000-00002F000000}"/>
    <cellStyle name="60% - Accent5" xfId="49" builtinId="48" customBuiltin="1"/>
    <cellStyle name="60% - Accent5 2" xfId="50" xr:uid="{00000000-0005-0000-0000-000031000000}"/>
    <cellStyle name="60% - Accent5 3" xfId="51" xr:uid="{00000000-0005-0000-0000-000032000000}"/>
    <cellStyle name="60% - Accent6" xfId="52" builtinId="52" customBuiltin="1"/>
    <cellStyle name="60% - Accent6 2" xfId="53" xr:uid="{00000000-0005-0000-0000-000034000000}"/>
    <cellStyle name="60% - Accent6 3" xfId="54" xr:uid="{00000000-0005-0000-0000-000035000000}"/>
    <cellStyle name="Accent1" xfId="55" builtinId="29" customBuiltin="1"/>
    <cellStyle name="Accent1 2" xfId="56" xr:uid="{00000000-0005-0000-0000-000037000000}"/>
    <cellStyle name="Accent1 3" xfId="57" xr:uid="{00000000-0005-0000-0000-000038000000}"/>
    <cellStyle name="Accent2" xfId="58" builtinId="33" customBuiltin="1"/>
    <cellStyle name="Accent2 2" xfId="59" xr:uid="{00000000-0005-0000-0000-00003A000000}"/>
    <cellStyle name="Accent2 3" xfId="60" xr:uid="{00000000-0005-0000-0000-00003B000000}"/>
    <cellStyle name="Accent3" xfId="61" builtinId="37" customBuiltin="1"/>
    <cellStyle name="Accent3 2" xfId="62" xr:uid="{00000000-0005-0000-0000-00003D000000}"/>
    <cellStyle name="Accent3 3" xfId="63" xr:uid="{00000000-0005-0000-0000-00003E000000}"/>
    <cellStyle name="Accent4" xfId="64" builtinId="41" customBuiltin="1"/>
    <cellStyle name="Accent4 2" xfId="65" xr:uid="{00000000-0005-0000-0000-000040000000}"/>
    <cellStyle name="Accent4 3" xfId="66" xr:uid="{00000000-0005-0000-0000-000041000000}"/>
    <cellStyle name="Accent5" xfId="67" builtinId="45" customBuiltin="1"/>
    <cellStyle name="Accent5 2" xfId="68" xr:uid="{00000000-0005-0000-0000-000043000000}"/>
    <cellStyle name="Accent5 3" xfId="69" xr:uid="{00000000-0005-0000-0000-000044000000}"/>
    <cellStyle name="Accent6" xfId="70" builtinId="49" customBuiltin="1"/>
    <cellStyle name="Accent6 2" xfId="71" xr:uid="{00000000-0005-0000-0000-000046000000}"/>
    <cellStyle name="Accent6 3" xfId="72" xr:uid="{00000000-0005-0000-0000-000047000000}"/>
    <cellStyle name="Bad" xfId="73" builtinId="27" customBuiltin="1"/>
    <cellStyle name="Bad 2" xfId="74" xr:uid="{00000000-0005-0000-0000-000049000000}"/>
    <cellStyle name="Bad 3" xfId="75" xr:uid="{00000000-0005-0000-0000-00004A000000}"/>
    <cellStyle name="Calculation" xfId="76" builtinId="22" customBuiltin="1"/>
    <cellStyle name="Calculation 2" xfId="77" xr:uid="{00000000-0005-0000-0000-00004C000000}"/>
    <cellStyle name="Calculation 3" xfId="78" xr:uid="{00000000-0005-0000-0000-00004D000000}"/>
    <cellStyle name="Check Cell" xfId="79" builtinId="23" customBuiltin="1"/>
    <cellStyle name="Check Cell 2" xfId="80" xr:uid="{00000000-0005-0000-0000-00004F000000}"/>
    <cellStyle name="Check Cell 3" xfId="81" xr:uid="{00000000-0005-0000-0000-000050000000}"/>
    <cellStyle name="Comma" xfId="82" builtinId="3"/>
    <cellStyle name="Comma 2" xfId="83" xr:uid="{00000000-0005-0000-0000-000052000000}"/>
    <cellStyle name="Comma 2 2" xfId="84" xr:uid="{00000000-0005-0000-0000-000053000000}"/>
    <cellStyle name="Comma 2 3" xfId="85" xr:uid="{00000000-0005-0000-0000-000054000000}"/>
    <cellStyle name="Comma 2 4" xfId="86" xr:uid="{00000000-0005-0000-0000-000055000000}"/>
    <cellStyle name="Comma 3" xfId="87" xr:uid="{00000000-0005-0000-0000-000056000000}"/>
    <cellStyle name="Comma 4" xfId="88" xr:uid="{00000000-0005-0000-0000-000057000000}"/>
    <cellStyle name="Currency 2" xfId="89" xr:uid="{00000000-0005-0000-0000-000058000000}"/>
    <cellStyle name="Explanatory Text" xfId="90" builtinId="53" customBuiltin="1"/>
    <cellStyle name="Explanatory Text 2" xfId="91" xr:uid="{00000000-0005-0000-0000-00005A000000}"/>
    <cellStyle name="Explanatory Text 3" xfId="92" xr:uid="{00000000-0005-0000-0000-00005B000000}"/>
    <cellStyle name="Good" xfId="93" builtinId="26" customBuiltin="1"/>
    <cellStyle name="Good 2" xfId="94" xr:uid="{00000000-0005-0000-0000-00005D000000}"/>
    <cellStyle name="Good 3" xfId="95" xr:uid="{00000000-0005-0000-0000-00005E000000}"/>
    <cellStyle name="Heading 1" xfId="96" builtinId="16" customBuiltin="1"/>
    <cellStyle name="Heading 1 2" xfId="97" xr:uid="{00000000-0005-0000-0000-000060000000}"/>
    <cellStyle name="Heading 1 3" xfId="98" xr:uid="{00000000-0005-0000-0000-000061000000}"/>
    <cellStyle name="Heading 2" xfId="99" builtinId="17" customBuiltin="1"/>
    <cellStyle name="Heading 2 2" xfId="100" xr:uid="{00000000-0005-0000-0000-000063000000}"/>
    <cellStyle name="Heading 2 3" xfId="101" xr:uid="{00000000-0005-0000-0000-000064000000}"/>
    <cellStyle name="Heading 3" xfId="102" builtinId="18" customBuiltin="1"/>
    <cellStyle name="Heading 3 2" xfId="103" xr:uid="{00000000-0005-0000-0000-000066000000}"/>
    <cellStyle name="Heading 3 3" xfId="104" xr:uid="{00000000-0005-0000-0000-000067000000}"/>
    <cellStyle name="Heading 4" xfId="105" builtinId="19" customBuiltin="1"/>
    <cellStyle name="Heading 4 2" xfId="106" xr:uid="{00000000-0005-0000-0000-000069000000}"/>
    <cellStyle name="Heading 4 3" xfId="107" xr:uid="{00000000-0005-0000-0000-00006A000000}"/>
    <cellStyle name="Hyperlink 2" xfId="108" xr:uid="{00000000-0005-0000-0000-00006C000000}"/>
    <cellStyle name="Hyperlink 2 2" xfId="109" xr:uid="{00000000-0005-0000-0000-00006D000000}"/>
    <cellStyle name="Hyperlink 2 3" xfId="110" xr:uid="{00000000-0005-0000-0000-00006E000000}"/>
    <cellStyle name="Hyperlink 3" xfId="111" xr:uid="{00000000-0005-0000-0000-00006F000000}"/>
    <cellStyle name="Input" xfId="112" builtinId="20" customBuiltin="1"/>
    <cellStyle name="Input 2" xfId="113" xr:uid="{00000000-0005-0000-0000-000071000000}"/>
    <cellStyle name="Input 3" xfId="114" xr:uid="{00000000-0005-0000-0000-000072000000}"/>
    <cellStyle name="Linked Cell" xfId="115" builtinId="24" customBuiltin="1"/>
    <cellStyle name="Linked Cell 2" xfId="116" xr:uid="{00000000-0005-0000-0000-000074000000}"/>
    <cellStyle name="Linked Cell 3" xfId="117" xr:uid="{00000000-0005-0000-0000-000075000000}"/>
    <cellStyle name="Neutral" xfId="118" builtinId="28" customBuiltin="1"/>
    <cellStyle name="Neutral 2" xfId="119" xr:uid="{00000000-0005-0000-0000-000077000000}"/>
    <cellStyle name="Neutral 3" xfId="120" xr:uid="{00000000-0005-0000-0000-000078000000}"/>
    <cellStyle name="Normal" xfId="0" builtinId="0"/>
    <cellStyle name="Normal 2" xfId="121" xr:uid="{00000000-0005-0000-0000-00007A000000}"/>
    <cellStyle name="Normal 3" xfId="122" xr:uid="{00000000-0005-0000-0000-00007B000000}"/>
    <cellStyle name="Note" xfId="123" builtinId="10" customBuiltin="1"/>
    <cellStyle name="Note 2" xfId="124" xr:uid="{00000000-0005-0000-0000-00007D000000}"/>
    <cellStyle name="Note 2 2" xfId="125" xr:uid="{00000000-0005-0000-0000-00007E000000}"/>
    <cellStyle name="Note 3" xfId="126" xr:uid="{00000000-0005-0000-0000-00007F000000}"/>
    <cellStyle name="Note 4" xfId="127" xr:uid="{00000000-0005-0000-0000-000080000000}"/>
    <cellStyle name="Output" xfId="128" builtinId="21" customBuiltin="1"/>
    <cellStyle name="Output 2" xfId="129" xr:uid="{00000000-0005-0000-0000-000082000000}"/>
    <cellStyle name="Output 3" xfId="130" xr:uid="{00000000-0005-0000-0000-000083000000}"/>
    <cellStyle name="Percent" xfId="131" builtinId="5"/>
    <cellStyle name="Percent 2" xfId="132" xr:uid="{00000000-0005-0000-0000-000085000000}"/>
    <cellStyle name="Percent 2 2" xfId="133" xr:uid="{00000000-0005-0000-0000-000086000000}"/>
    <cellStyle name="Percent 2 3" xfId="134" xr:uid="{00000000-0005-0000-0000-000087000000}"/>
    <cellStyle name="Percent 2 4" xfId="135" xr:uid="{00000000-0005-0000-0000-000088000000}"/>
    <cellStyle name="Percent 2 5" xfId="136" xr:uid="{00000000-0005-0000-0000-000089000000}"/>
    <cellStyle name="Percent 3" xfId="137" xr:uid="{00000000-0005-0000-0000-00008A000000}"/>
    <cellStyle name="Title" xfId="138" builtinId="15" customBuiltin="1"/>
    <cellStyle name="Title 2" xfId="139" xr:uid="{00000000-0005-0000-0000-00008C000000}"/>
    <cellStyle name="Title 3" xfId="140" xr:uid="{00000000-0005-0000-0000-00008D000000}"/>
    <cellStyle name="Total" xfId="141" builtinId="25" customBuiltin="1"/>
    <cellStyle name="Total 2" xfId="142" xr:uid="{00000000-0005-0000-0000-00008F000000}"/>
    <cellStyle name="Total 3" xfId="143" xr:uid="{00000000-0005-0000-0000-000090000000}"/>
    <cellStyle name="Warning Text" xfId="144" builtinId="11" customBuiltin="1"/>
    <cellStyle name="Warning Text 2" xfId="145" xr:uid="{00000000-0005-0000-0000-000092000000}"/>
    <cellStyle name="Warning Text 3" xfId="146" xr:uid="{00000000-0005-0000-0000-00009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295275</xdr:colOff>
      <xdr:row>0</xdr:row>
      <xdr:rowOff>152400</xdr:rowOff>
    </xdr:from>
    <xdr:to>
      <xdr:col>12</xdr:col>
      <xdr:colOff>333375</xdr:colOff>
      <xdr:row>67</xdr:row>
      <xdr:rowOff>133350</xdr:rowOff>
    </xdr:to>
    <xdr:sp macro="" textlink="">
      <xdr:nvSpPr>
        <xdr:cNvPr id="1025" name="Text Box 6">
          <a:extLst>
            <a:ext uri="{FF2B5EF4-FFF2-40B4-BE49-F238E27FC236}">
              <a16:creationId xmlns:a16="http://schemas.microsoft.com/office/drawing/2014/main" id="{3BC11B1B-4E5F-F75E-BE0E-56FF15C22EBA}"/>
            </a:ext>
          </a:extLst>
        </xdr:cNvPr>
        <xdr:cNvSpPr txBox="1">
          <a:spLocks noChangeArrowheads="1"/>
        </xdr:cNvSpPr>
      </xdr:nvSpPr>
      <xdr:spPr bwMode="auto">
        <a:xfrm>
          <a:off x="295275" y="152400"/>
          <a:ext cx="7353300" cy="10829925"/>
        </a:xfrm>
        <a:prstGeom prst="rect">
          <a:avLst/>
        </a:prstGeom>
        <a:solidFill>
          <a:srgbClr xmlns:mc="http://schemas.openxmlformats.org/markup-compatibility/2006" xmlns:a14="http://schemas.microsoft.com/office/drawing/2010/main" val="CCCCFF" mc:Ignorable="a14" a14:legacySpreadsheetColorIndex="31"/>
        </a:solidFill>
        <a:ln w="9525">
          <a:solidFill>
            <a:srgbClr val="000000"/>
          </a:solidFill>
          <a:miter lim="800000"/>
          <a:headEnd/>
          <a:tailEnd/>
        </a:ln>
      </xdr:spPr>
      <xdr:txBody>
        <a:bodyPr vertOverflow="clip" wrap="square" lIns="36576" tIns="27432" rIns="0" bIns="0" anchor="t"/>
        <a:lstStyle/>
        <a:p>
          <a:pPr algn="l" rtl="0">
            <a:defRPr sz="1000"/>
          </a:pPr>
          <a:r>
            <a:rPr lang="en-US" sz="1200" b="1" i="0" u="none" strike="noStrike" baseline="0">
              <a:solidFill>
                <a:srgbClr val="000000"/>
              </a:solidFill>
              <a:latin typeface="CG Omega"/>
            </a:rPr>
            <a:t>          SALARY PLANNING TEMPLATE FOR FACULTY WITH 12-MONTH APPPOINTMENTS</a:t>
          </a:r>
          <a:endParaRPr lang="en-US" sz="1200" b="1" i="0" u="none" strike="noStrike" baseline="0">
            <a:solidFill>
              <a:srgbClr val="FFFFFF"/>
            </a:solidFill>
            <a:latin typeface="CG Omega"/>
          </a:endParaRPr>
        </a:p>
        <a:p>
          <a:pPr algn="l" rtl="0">
            <a:defRPr sz="1000"/>
          </a:pPr>
          <a:endParaRPr lang="en-US" sz="1200" b="1" i="0" u="none" strike="noStrike" baseline="0">
            <a:solidFill>
              <a:srgbClr val="000000"/>
            </a:solidFill>
            <a:latin typeface="CG Omega"/>
          </a:endParaRPr>
        </a:p>
        <a:p>
          <a:pPr algn="l" rtl="0">
            <a:defRPr sz="1000"/>
          </a:pPr>
          <a:r>
            <a:rPr lang="en-US" sz="1200" b="1" i="0" u="none" strike="noStrike" baseline="0">
              <a:solidFill>
                <a:srgbClr val="000000"/>
              </a:solidFill>
              <a:latin typeface="CG Omega"/>
            </a:rPr>
            <a:t>Data is entered into the </a:t>
          </a:r>
          <a:r>
            <a:rPr lang="en-US" sz="1800" b="1" i="0" u="none" strike="noStrike" baseline="0">
              <a:solidFill>
                <a:srgbClr val="FFFF00"/>
              </a:solidFill>
              <a:latin typeface="CG Omega"/>
            </a:rPr>
            <a:t>YELLOW HIGHLIGHTED</a:t>
          </a:r>
          <a:r>
            <a:rPr lang="en-US" sz="1200" b="1" i="0" u="none" strike="noStrike" baseline="0">
              <a:solidFill>
                <a:srgbClr val="000000"/>
              </a:solidFill>
              <a:latin typeface="CG Omega"/>
            </a:rPr>
            <a:t> sections.</a:t>
          </a:r>
        </a:p>
        <a:p>
          <a:pPr algn="l" rtl="0">
            <a:defRPr sz="1000"/>
          </a:pPr>
          <a:endParaRPr lang="en-US" sz="1200" b="1" i="0" u="none" strike="noStrike" baseline="0">
            <a:solidFill>
              <a:srgbClr val="000000"/>
            </a:solidFill>
            <a:latin typeface="CG Omega"/>
          </a:endParaRP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1. Enter the </a:t>
          </a:r>
          <a:r>
            <a:rPr lang="en-US" sz="1200" b="1" i="0" u="none" strike="noStrike" baseline="0">
              <a:solidFill>
                <a:srgbClr val="000000"/>
              </a:solidFill>
              <a:latin typeface="CG Omega"/>
            </a:rPr>
            <a:t>faculty name</a:t>
          </a:r>
          <a:r>
            <a:rPr lang="en-US" sz="1200" b="0" i="0" u="none" strike="noStrike" baseline="0">
              <a:solidFill>
                <a:srgbClr val="000000"/>
              </a:solidFill>
              <a:latin typeface="CG Omega"/>
            </a:rPr>
            <a:t> in B1.</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2. In D6, enter the </a:t>
          </a:r>
          <a:r>
            <a:rPr lang="en-US" sz="1200" b="1" i="0" u="none" strike="noStrike" baseline="0">
              <a:solidFill>
                <a:srgbClr val="000000"/>
              </a:solidFill>
              <a:latin typeface="CG Omega"/>
            </a:rPr>
            <a:t>% NMG appointment</a:t>
          </a:r>
          <a:r>
            <a:rPr lang="en-US" sz="1200" b="0" i="0" u="none" strike="noStrike" baseline="0">
              <a:solidFill>
                <a:srgbClr val="000000"/>
              </a:solidFill>
              <a:latin typeface="CG Omega"/>
            </a:rPr>
            <a:t> and enter the </a:t>
          </a:r>
          <a:r>
            <a:rPr lang="en-US" sz="1200" b="1" i="0" u="none" strike="noStrike" baseline="0">
              <a:solidFill>
                <a:srgbClr val="000000"/>
              </a:solidFill>
              <a:latin typeface="CG Omega"/>
            </a:rPr>
            <a:t>$ amount of NMG salary</a:t>
          </a:r>
          <a:r>
            <a:rPr lang="en-US" sz="1200" b="0" i="0" u="none" strike="noStrike" baseline="0">
              <a:solidFill>
                <a:srgbClr val="000000"/>
              </a:solidFill>
              <a:latin typeface="CG Omega"/>
            </a:rPr>
            <a:t> in E6.</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3. In D6, enter the </a:t>
          </a:r>
          <a:r>
            <a:rPr lang="en-US" sz="1200" b="1" i="0" u="none" strike="noStrike" baseline="0">
              <a:solidFill>
                <a:srgbClr val="000000"/>
              </a:solidFill>
              <a:latin typeface="CG Omega"/>
            </a:rPr>
            <a:t>% Northwestern appointment</a:t>
          </a:r>
          <a:r>
            <a:rPr lang="en-US" sz="1200" b="0" i="0" u="none" strike="noStrike" baseline="0">
              <a:solidFill>
                <a:srgbClr val="000000"/>
              </a:solidFill>
              <a:latin typeface="CG Omega"/>
            </a:rPr>
            <a:t> and enter the </a:t>
          </a:r>
          <a:r>
            <a:rPr lang="en-US" sz="1200" b="1" i="0" u="none" strike="noStrike" baseline="0">
              <a:solidFill>
                <a:srgbClr val="000000"/>
              </a:solidFill>
              <a:latin typeface="CG Omega"/>
            </a:rPr>
            <a:t>$ amount of Northwestern salary</a:t>
          </a:r>
          <a:r>
            <a:rPr lang="en-US" sz="1200" b="0" i="0" u="none" strike="noStrike" baseline="0">
              <a:solidFill>
                <a:srgbClr val="000000"/>
              </a:solidFill>
              <a:latin typeface="CG Omega"/>
            </a:rPr>
            <a:t> in E7.</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4. In B7, enter the </a:t>
          </a:r>
          <a:r>
            <a:rPr lang="en-US" sz="1200" b="1" i="0" u="none" strike="noStrike" baseline="0">
              <a:solidFill>
                <a:srgbClr val="000000"/>
              </a:solidFill>
              <a:latin typeface="CG Omega"/>
            </a:rPr>
            <a:t>NMG commitment</a:t>
          </a:r>
          <a:r>
            <a:rPr lang="en-US" sz="1200" b="0" i="0" u="none" strike="noStrike" baseline="0">
              <a:solidFill>
                <a:srgbClr val="000000"/>
              </a:solidFill>
              <a:latin typeface="CG Omega"/>
            </a:rPr>
            <a:t> from </a:t>
          </a:r>
          <a:r>
            <a:rPr lang="en-US" sz="1200" b="1" i="0" u="none" strike="noStrike" baseline="0">
              <a:solidFill>
                <a:srgbClr val="000000"/>
              </a:solidFill>
              <a:latin typeface="CG Omega"/>
            </a:rPr>
            <a:t>faculty appointment letter</a:t>
          </a:r>
          <a:r>
            <a:rPr lang="en-US" sz="1200" b="0" i="0" u="none" strike="noStrike" baseline="0">
              <a:solidFill>
                <a:srgbClr val="000000"/>
              </a:solidFill>
              <a:latin typeface="CG Omega"/>
            </a:rPr>
            <a:t> (or other applicable documentation). This commitment should guide % NMG appointment for faculty appointment sheets.</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5. Enter </a:t>
          </a:r>
          <a:r>
            <a:rPr lang="en-US" sz="1200" b="1" i="0" u="none" strike="noStrike" baseline="0">
              <a:solidFill>
                <a:srgbClr val="000000"/>
              </a:solidFill>
              <a:latin typeface="CG Omega"/>
            </a:rPr>
            <a:t>Acct Short Name/ Grant Number</a:t>
          </a:r>
          <a:r>
            <a:rPr lang="en-US" sz="1200" b="0" i="0" u="none" strike="noStrike" baseline="0">
              <a:solidFill>
                <a:srgbClr val="000000"/>
              </a:solidFill>
              <a:latin typeface="CG Omega"/>
            </a:rPr>
            <a:t> in column B. Insert additional rows and copy/paste formulas as needed. When inserting rows for additional </a:t>
          </a:r>
          <a:r>
            <a:rPr lang="en-US" sz="1200" b="1" i="0" u="none" strike="noStrike" baseline="0">
              <a:solidFill>
                <a:srgbClr val="000000"/>
              </a:solidFill>
              <a:latin typeface="CG Omega"/>
            </a:rPr>
            <a:t>grant chart strings</a:t>
          </a:r>
          <a:r>
            <a:rPr lang="en-US" sz="1200" b="0" i="0" u="none" strike="noStrike" baseline="0">
              <a:solidFill>
                <a:srgbClr val="000000"/>
              </a:solidFill>
              <a:latin typeface="CG Omega"/>
            </a:rPr>
            <a:t>, you will need to insert a new </a:t>
          </a:r>
          <a:r>
            <a:rPr lang="en-US" sz="1200" b="1" i="0" u="none" strike="noStrike" baseline="0">
              <a:solidFill>
                <a:srgbClr val="000000"/>
              </a:solidFill>
              <a:latin typeface="CG Omega"/>
            </a:rPr>
            <a:t>corresponding row for cost sharing chart string</a:t>
          </a:r>
          <a:r>
            <a:rPr lang="en-US" sz="1200" b="0" i="0" u="none" strike="noStrike" baseline="0">
              <a:solidFill>
                <a:srgbClr val="000000"/>
              </a:solidFill>
              <a:latin typeface="CG Omega"/>
            </a:rPr>
            <a:t>. Math check is incorporated into column I, rows 19-21 to ensure cost share % salary + % base salary = % committed sponsored project effort.</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6. Enter </a:t>
          </a:r>
          <a:r>
            <a:rPr lang="en-US" sz="1200" b="1" i="0" u="none" strike="noStrike" baseline="0">
              <a:solidFill>
                <a:srgbClr val="000000"/>
              </a:solidFill>
              <a:latin typeface="CG Omega"/>
            </a:rPr>
            <a:t>chart strings</a:t>
          </a:r>
          <a:r>
            <a:rPr lang="en-US" sz="1200" b="0" i="0" u="none" strike="noStrike" baseline="0">
              <a:solidFill>
                <a:srgbClr val="000000"/>
              </a:solidFill>
              <a:latin typeface="CG Omega"/>
            </a:rPr>
            <a:t> in column C.</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7. Enter yes or no (Y/N) in column D to indicate whether or not a </a:t>
          </a:r>
          <a:r>
            <a:rPr lang="en-US" sz="1200" b="1" i="0" u="none" strike="noStrike" baseline="0">
              <a:solidFill>
                <a:srgbClr val="000000"/>
              </a:solidFill>
              <a:latin typeface="CG Omega"/>
            </a:rPr>
            <a:t>salary cap</a:t>
          </a:r>
          <a:r>
            <a:rPr lang="en-US" sz="1200" b="0" i="0" u="none" strike="noStrike" baseline="0">
              <a:solidFill>
                <a:srgbClr val="000000"/>
              </a:solidFill>
              <a:latin typeface="CG Omega"/>
            </a:rPr>
            <a:t> is required. Enter amount of salary cap in column E.</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8. For </a:t>
          </a:r>
          <a:r>
            <a:rPr lang="en-US" sz="1200" b="1" i="0" u="none" strike="noStrike" baseline="0">
              <a:solidFill>
                <a:srgbClr val="000000"/>
              </a:solidFill>
              <a:latin typeface="CG Omega"/>
            </a:rPr>
            <a:t>sponsored project chart strings</a:t>
          </a:r>
          <a:r>
            <a:rPr lang="en-US" sz="1200" b="0" i="0" u="none" strike="noStrike" baseline="0">
              <a:solidFill>
                <a:srgbClr val="000000"/>
              </a:solidFill>
              <a:latin typeface="CG Omega"/>
            </a:rPr>
            <a:t>, enter </a:t>
          </a:r>
          <a:r>
            <a:rPr lang="en-US" sz="1200" b="1" i="0" u="none" strike="noStrike" baseline="0">
              <a:solidFill>
                <a:srgbClr val="000000"/>
              </a:solidFill>
              <a:latin typeface="CG Omega"/>
            </a:rPr>
            <a:t>% committed effort</a:t>
          </a:r>
          <a:r>
            <a:rPr lang="en-US" sz="1200" b="0" i="0" u="none" strike="noStrike" baseline="0">
              <a:solidFill>
                <a:srgbClr val="000000"/>
              </a:solidFill>
              <a:latin typeface="CG Omega"/>
            </a:rPr>
            <a:t> (from approved application budget) in column I, rows 11-4. The worksheet will automatically calculate % Northwestern salary (in column H), % base salary (in column G) and applicable cost sharing (in rows 19-21). Future months' effort will automatically carry forward. To change future months effort, simply enter revised effort commitment in the yellow highlighted cell for that month.</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9. For each sponsored project, enter the </a:t>
          </a:r>
          <a:r>
            <a:rPr lang="en-US" sz="1200" b="1" i="0" u="none" strike="noStrike" baseline="0">
              <a:solidFill>
                <a:srgbClr val="000000"/>
              </a:solidFill>
              <a:latin typeface="CG Omega"/>
            </a:rPr>
            <a:t>number of award months </a:t>
          </a:r>
          <a:r>
            <a:rPr lang="en-US" sz="1200" b="0" i="0" u="none" strike="noStrike" baseline="0">
              <a:solidFill>
                <a:srgbClr val="000000"/>
              </a:solidFill>
              <a:latin typeface="CG Omega"/>
            </a:rPr>
            <a:t>during the current fiscal year in column BH. For example, if an award begins 12/01/2020, then there are 9 award months during FY21 (Dec-Aug). </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10. For each sponsored project, enter the </a:t>
          </a:r>
          <a:r>
            <a:rPr lang="en-US" sz="1200" b="1" i="0" u="none" strike="noStrike" baseline="0">
              <a:solidFill>
                <a:srgbClr val="000000"/>
              </a:solidFill>
              <a:latin typeface="CG Omega"/>
            </a:rPr>
            <a:t>% committed effort</a:t>
          </a:r>
          <a:r>
            <a:rPr lang="en-US" sz="1200" b="0" i="0" u="none" strike="noStrike" baseline="0">
              <a:solidFill>
                <a:srgbClr val="000000"/>
              </a:solidFill>
              <a:latin typeface="CG Omega"/>
            </a:rPr>
            <a:t> (from approved application budget) in column BL. The worksheet will automatically confirm that annualized effort is equivalent to committed effort. If column BN (net difference is &gt; or &lt; 0, then there may be an issue with committed effort vs. reported effort.</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11. Enter entire </a:t>
          </a:r>
          <a:r>
            <a:rPr lang="en-US" sz="1200" b="1" i="0" u="none" strike="noStrike" baseline="0">
              <a:solidFill>
                <a:srgbClr val="000000"/>
              </a:solidFill>
              <a:latin typeface="CG Omega"/>
            </a:rPr>
            <a:t>project period</a:t>
          </a:r>
          <a:r>
            <a:rPr lang="en-US" sz="1200" b="0" i="0" u="none" strike="noStrike" baseline="0">
              <a:solidFill>
                <a:srgbClr val="000000"/>
              </a:solidFill>
              <a:latin typeface="CG Omega"/>
            </a:rPr>
            <a:t> for each sponsored project and/or other comments in column BM. This is a handy guide for award months calculation and future fiscal year projections.</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12. For non-grant chart strings, there are two options. The current worksheet requires that you enter the </a:t>
          </a:r>
          <a:r>
            <a:rPr lang="en-US" sz="1200" b="1" i="0" u="none" strike="noStrike" baseline="0">
              <a:solidFill>
                <a:srgbClr val="000000"/>
              </a:solidFill>
              <a:latin typeface="CG Omega"/>
            </a:rPr>
            <a:t>% commitment for administrative role</a:t>
          </a:r>
          <a:r>
            <a:rPr lang="en-US" sz="1200" b="0" i="0" u="none" strike="noStrike" baseline="0">
              <a:solidFill>
                <a:srgbClr val="000000"/>
              </a:solidFill>
              <a:latin typeface="CG Omega"/>
            </a:rPr>
            <a:t> (charged to endowed chair for example). The current worksheet also utilizes the unit's operating account to automatically absorb any </a:t>
          </a:r>
          <a:r>
            <a:rPr lang="en-US" sz="1200" b="1" i="0" u="none" strike="noStrike" baseline="0">
              <a:solidFill>
                <a:srgbClr val="000000"/>
              </a:solidFill>
              <a:latin typeface="CG Omega"/>
            </a:rPr>
            <a:t>remaining salary costs</a:t>
          </a:r>
          <a:r>
            <a:rPr lang="en-US" sz="1200" b="0" i="0" u="none" strike="noStrike" baseline="0">
              <a:solidFill>
                <a:srgbClr val="000000"/>
              </a:solidFill>
              <a:latin typeface="CG Omega"/>
            </a:rPr>
            <a:t> not funded through sponsored projects, clinical activities, etc. Future months' effort will automatically carry forward. To change future months effort, simply enter revised effort commitment in the yellow highlighted cell for that month.</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13. All the "TRUE" returns throughout the worksheet are </a:t>
          </a:r>
          <a:r>
            <a:rPr lang="en-US" sz="1200" b="1" i="0" u="none" strike="noStrike" baseline="0">
              <a:solidFill>
                <a:srgbClr val="000000"/>
              </a:solidFill>
              <a:latin typeface="CG Omega"/>
            </a:rPr>
            <a:t>math checks</a:t>
          </a:r>
          <a:r>
            <a:rPr lang="en-US" sz="1200" b="0" i="0" u="none" strike="noStrike" baseline="0">
              <a:solidFill>
                <a:srgbClr val="000000"/>
              </a:solidFill>
              <a:latin typeface="CG Omega"/>
            </a:rPr>
            <a:t> to ensure proper use of formulas. Should one of these cells return "FALSE", there may be a problem with the formulas from an edited worksheet.</a:t>
          </a:r>
        </a:p>
        <a:p>
          <a:pPr algn="l" rtl="0">
            <a:defRPr sz="1000"/>
          </a:pPr>
          <a:endParaRPr lang="en-US" sz="1200" b="0" i="0" u="none" strike="noStrike" baseline="0">
            <a:solidFill>
              <a:srgbClr val="000000"/>
            </a:solidFill>
            <a:latin typeface="CG Omega"/>
          </a:endParaRPr>
        </a:p>
        <a:p>
          <a:pPr algn="l" rtl="0">
            <a:defRPr sz="1000"/>
          </a:pPr>
          <a:r>
            <a:rPr lang="en-US" sz="1200" b="0" i="0" u="none" strike="noStrike" baseline="0">
              <a:solidFill>
                <a:srgbClr val="000000"/>
              </a:solidFill>
              <a:latin typeface="CG Omega"/>
            </a:rPr>
            <a:t>14. NOTE: This budget template is to be used for faculty with </a:t>
          </a:r>
          <a:r>
            <a:rPr lang="en-US" sz="1200" b="1" i="0" u="none" strike="noStrike" baseline="0">
              <a:solidFill>
                <a:srgbClr val="000000"/>
              </a:solidFill>
              <a:latin typeface="CG Omega"/>
            </a:rPr>
            <a:t>12-month appointments</a:t>
          </a:r>
          <a:r>
            <a:rPr lang="en-US" sz="1200" b="0" i="0" u="none" strike="noStrike" baseline="0">
              <a:solidFill>
                <a:srgbClr val="000000"/>
              </a:solidFill>
              <a:latin typeface="CG Omega"/>
            </a:rPr>
            <a:t>. Of course, one size never really fits all, so you may need to edit this worksheet according to the funding profile of each faculty member. </a:t>
          </a:r>
        </a:p>
        <a:p>
          <a:pPr algn="l" rtl="0">
            <a:defRPr sz="1000"/>
          </a:pPr>
          <a:endParaRPr lang="en-US" sz="1200" b="0" i="0" u="none" strike="noStrike" baseline="0">
            <a:solidFill>
              <a:srgbClr val="000000"/>
            </a:solidFill>
            <a:latin typeface="CG Omega"/>
          </a:endParaRPr>
        </a:p>
        <a:p>
          <a:pPr algn="l" rtl="0">
            <a:defRPr sz="1000"/>
          </a:pPr>
          <a:endParaRPr lang="en-US" sz="1200" b="0" i="0" u="none" strike="noStrike" baseline="0">
            <a:solidFill>
              <a:srgbClr val="000000"/>
            </a:solidFill>
            <a:latin typeface="CG Omega"/>
          </a:endParaRPr>
        </a:p>
        <a:p>
          <a:pPr algn="l" rtl="0">
            <a:defRPr sz="1000"/>
          </a:pPr>
          <a:endParaRPr lang="en-US" sz="1200" b="0" i="0" u="none" strike="noStrike" baseline="0">
            <a:solidFill>
              <a:srgbClr val="000000"/>
            </a:solidFill>
            <a:latin typeface="CG Omega"/>
          </a:endParaRPr>
        </a:p>
        <a:p>
          <a:pPr algn="l" rtl="0">
            <a:defRPr sz="1000"/>
          </a:pPr>
          <a:endParaRPr lang="en-US" sz="1200" b="0" i="0" u="none" strike="noStrike" baseline="0">
            <a:solidFill>
              <a:srgbClr val="000000"/>
            </a:solidFill>
            <a:latin typeface="CG Omega"/>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ingle_researcher_by_rank_growth_assumptions.xls" TargetMode="External"/><Relationship Id="rId1" Type="http://schemas.openxmlformats.org/officeDocument/2006/relationships/externalLinkPath" Target="/Single_researcher_by_rank_growth_assumpti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adminfinance.iusm.iu.edu/operations/Research%20Webpages/Forms%20Page/PHS398%20(09-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ewBuilding_SinglePI_DBBProgramming_11-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ptions"/>
      <sheetName val="BSProf"/>
      <sheetName val="CProf"/>
      <sheetName val="BSAssoc"/>
      <sheetName val="CAssoc"/>
      <sheetName val="BSAsst"/>
      <sheetName val="CAsst"/>
      <sheetName val="Blended"/>
      <sheetName val="Calculations"/>
      <sheetName val="Summary Data"/>
    </sheetNames>
    <sheetDataSet>
      <sheetData sheetId="0" refreshError="1"/>
      <sheetData sheetId="1"/>
      <sheetData sheetId="2"/>
      <sheetData sheetId="3"/>
      <sheetData sheetId="4"/>
      <sheetData sheetId="5"/>
      <sheetData sheetId="6"/>
      <sheetData sheetId="7" refreshError="1"/>
      <sheetData sheetId="8" refreshError="1"/>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E"/>
      <sheetName val="FIRSTBUD"/>
      <sheetName val="ENTRBUD"/>
      <sheetName val="CHKLST"/>
      <sheetName val="F &amp; A Calculation"/>
      <sheetName val="NRSA Page 4"/>
      <sheetName val="NRSA Page 5"/>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20 Year Financial Summary"/>
      <sheetName val="Space costs"/>
      <sheetName val="PI costs and cohorts"/>
      <sheetName val="PI sources of support"/>
      <sheetName val="Single researcher"/>
      <sheetName val="5 Years 20 PIs"/>
      <sheetName val="Salary cap differential base"/>
      <sheetName val="Assumption flow"/>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
  <sheetViews>
    <sheetView workbookViewId="0">
      <selection activeCell="O15" sqref="O15"/>
    </sheetView>
  </sheetViews>
  <sheetFormatPr defaultRowHeight="12.5" x14ac:dyDescent="0.25"/>
  <sheetData/>
  <phoneticPr fontId="0" type="noConversion"/>
  <printOptions horizontalCentered="1" verticalCentered="1"/>
  <pageMargins left="0.25" right="0.25" top="0.25" bottom="0.25" header="0.5" footer="0.5"/>
  <pageSetup scale="8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3"/>
  </sheetPr>
  <dimension ref="A1:BN32"/>
  <sheetViews>
    <sheetView tabSelected="1" zoomScale="75" zoomScaleNormal="75" zoomScaleSheetLayoutView="80" workbookViewId="0"/>
  </sheetViews>
  <sheetFormatPr defaultColWidth="9.1796875" defaultRowHeight="12.5" x14ac:dyDescent="0.25"/>
  <cols>
    <col min="1" max="1" width="15.81640625" style="4" customWidth="1"/>
    <col min="2" max="2" width="28.54296875" style="4" bestFit="1" customWidth="1"/>
    <col min="3" max="3" width="25" style="4" customWidth="1"/>
    <col min="4" max="4" width="14.26953125" style="3" customWidth="1"/>
    <col min="5" max="5" width="15.1796875" style="3" customWidth="1"/>
    <col min="6" max="6" width="14.1796875" style="3" customWidth="1"/>
    <col min="7" max="8" width="9.7265625" style="5" customWidth="1"/>
    <col min="9" max="9" width="9.81640625" style="5" customWidth="1"/>
    <col min="10" max="10" width="14.1796875" style="3" customWidth="1"/>
    <col min="11" max="12" width="9.7265625" style="5" customWidth="1"/>
    <col min="13" max="13" width="9.81640625" style="5" customWidth="1"/>
    <col min="14" max="14" width="14.1796875" style="3" customWidth="1"/>
    <col min="15" max="16" width="9.7265625" style="5" customWidth="1"/>
    <col min="17" max="17" width="9.81640625" style="5" customWidth="1"/>
    <col min="18" max="18" width="14.1796875" style="3" customWidth="1"/>
    <col min="19" max="20" width="9.7265625" style="5" customWidth="1"/>
    <col min="21" max="21" width="9.81640625" style="5" customWidth="1"/>
    <col min="22" max="22" width="14.1796875" style="3" customWidth="1"/>
    <col min="23" max="24" width="9.7265625" style="5" customWidth="1"/>
    <col min="25" max="25" width="9.81640625" style="5" customWidth="1"/>
    <col min="26" max="26" width="14.1796875" style="3" customWidth="1"/>
    <col min="27" max="28" width="9.7265625" style="5" customWidth="1"/>
    <col min="29" max="29" width="9.81640625" style="5" customWidth="1"/>
    <col min="30" max="30" width="14.1796875" style="3" customWidth="1"/>
    <col min="31" max="32" width="9.7265625" style="5" customWidth="1"/>
    <col min="33" max="33" width="9.81640625" style="5" customWidth="1"/>
    <col min="34" max="34" width="14.1796875" style="3" customWidth="1"/>
    <col min="35" max="36" width="9.7265625" style="5" customWidth="1"/>
    <col min="37" max="37" width="9.81640625" style="5" customWidth="1"/>
    <col min="38" max="38" width="14.1796875" style="3" customWidth="1"/>
    <col min="39" max="40" width="9.7265625" style="5" customWidth="1"/>
    <col min="41" max="41" width="9.81640625" style="5" customWidth="1"/>
    <col min="42" max="42" width="14.1796875" style="3" customWidth="1"/>
    <col min="43" max="44" width="9.7265625" style="5" customWidth="1"/>
    <col min="45" max="45" width="9.81640625" style="5" customWidth="1"/>
    <col min="46" max="46" width="14.1796875" style="3" customWidth="1"/>
    <col min="47" max="48" width="9.7265625" style="5" customWidth="1"/>
    <col min="49" max="49" width="9.81640625" style="5" customWidth="1"/>
    <col min="50" max="50" width="14.1796875" style="3" customWidth="1"/>
    <col min="51" max="52" width="9.7265625" style="5" customWidth="1"/>
    <col min="53" max="53" width="9.81640625" style="5" customWidth="1"/>
    <col min="54" max="54" width="16.7265625" style="3" customWidth="1"/>
    <col min="55" max="55" width="13" style="3" customWidth="1"/>
    <col min="56" max="56" width="11.26953125" style="3" bestFit="1" customWidth="1"/>
    <col min="57" max="58" width="11.54296875" style="3" customWidth="1"/>
    <col min="59" max="59" width="10.81640625" style="3" customWidth="1"/>
    <col min="60" max="60" width="15.81640625" style="3" customWidth="1"/>
    <col min="61" max="61" width="23.81640625" style="5" customWidth="1"/>
    <col min="62" max="16384" width="9.1796875" style="3"/>
  </cols>
  <sheetData>
    <row r="1" spans="1:66" ht="31" x14ac:dyDescent="0.25">
      <c r="A1" s="1" t="s">
        <v>0</v>
      </c>
      <c r="B1" s="104" t="s">
        <v>1</v>
      </c>
      <c r="D1" s="2"/>
      <c r="E1" s="2"/>
      <c r="F1" s="2"/>
      <c r="G1" s="62"/>
      <c r="H1" s="62"/>
      <c r="I1" s="62"/>
      <c r="J1" s="2"/>
      <c r="K1" s="62"/>
      <c r="L1" s="62"/>
      <c r="M1" s="62"/>
      <c r="N1" s="2"/>
      <c r="O1" s="62"/>
      <c r="P1" s="62"/>
      <c r="Q1" s="62"/>
      <c r="R1" s="2"/>
      <c r="S1" s="62"/>
      <c r="T1" s="62"/>
      <c r="U1" s="62"/>
      <c r="V1" s="2"/>
      <c r="W1" s="62"/>
      <c r="X1" s="62"/>
      <c r="Y1" s="62"/>
      <c r="Z1" s="2"/>
      <c r="AA1" s="62"/>
      <c r="AB1" s="62"/>
      <c r="AC1" s="62"/>
      <c r="AD1" s="2"/>
      <c r="AE1" s="62"/>
      <c r="AF1" s="62"/>
      <c r="AG1" s="62"/>
      <c r="AH1" s="2"/>
      <c r="AI1" s="62"/>
      <c r="AJ1" s="62"/>
      <c r="AK1" s="62"/>
      <c r="AL1" s="2"/>
      <c r="AM1" s="62"/>
      <c r="AN1" s="62"/>
      <c r="AO1" s="62"/>
      <c r="AP1" s="2"/>
      <c r="AQ1" s="62"/>
      <c r="AR1" s="62"/>
      <c r="AS1" s="62"/>
      <c r="AT1" s="2"/>
      <c r="AU1" s="62"/>
      <c r="AV1" s="62"/>
      <c r="AW1" s="62"/>
      <c r="AX1" s="2"/>
      <c r="AY1" s="62"/>
      <c r="AZ1" s="62"/>
      <c r="BA1" s="62"/>
    </row>
    <row r="2" spans="1:66" ht="15.5" x14ac:dyDescent="0.25">
      <c r="C2" s="3"/>
      <c r="D2" s="24" t="s">
        <v>2</v>
      </c>
      <c r="E2" s="47">
        <f>E7+E6</f>
        <v>275000</v>
      </c>
      <c r="F2" s="2"/>
      <c r="G2" s="62"/>
      <c r="H2" s="62"/>
      <c r="I2" s="62"/>
      <c r="J2" s="2"/>
      <c r="K2" s="62"/>
      <c r="L2" s="62"/>
      <c r="M2" s="62"/>
      <c r="N2" s="2"/>
      <c r="O2" s="62"/>
      <c r="P2" s="62"/>
      <c r="Q2" s="62"/>
      <c r="R2" s="2"/>
      <c r="S2" s="62"/>
      <c r="T2" s="62"/>
      <c r="U2" s="62"/>
      <c r="V2" s="2"/>
      <c r="W2" s="62"/>
      <c r="X2" s="62"/>
      <c r="Y2" s="62"/>
      <c r="Z2" s="2"/>
      <c r="AA2" s="62"/>
      <c r="AB2" s="62"/>
      <c r="AC2" s="62"/>
      <c r="AD2" s="2"/>
      <c r="AE2" s="62"/>
      <c r="AF2" s="62"/>
      <c r="AG2" s="62"/>
      <c r="AH2" s="2"/>
      <c r="AI2" s="62"/>
      <c r="AJ2" s="62"/>
      <c r="AK2" s="62"/>
      <c r="AL2" s="2"/>
      <c r="AM2" s="62"/>
      <c r="AN2" s="62"/>
      <c r="AO2" s="62"/>
      <c r="AP2" s="2"/>
      <c r="AQ2" s="62"/>
      <c r="AR2" s="62"/>
      <c r="AS2" s="62"/>
      <c r="AT2" s="2"/>
      <c r="AU2" s="62"/>
      <c r="AV2" s="62"/>
      <c r="AW2" s="62"/>
      <c r="AX2" s="2"/>
      <c r="AY2" s="62"/>
      <c r="AZ2" s="62"/>
      <c r="BA2" s="62"/>
    </row>
    <row r="3" spans="1:66" ht="15.5" x14ac:dyDescent="0.25">
      <c r="C3" s="1"/>
      <c r="D3" s="24" t="s">
        <v>3</v>
      </c>
      <c r="E3" s="47">
        <f>ROUND(E2/12,2)</f>
        <v>22916.67</v>
      </c>
      <c r="F3" s="45"/>
      <c r="G3" s="62"/>
      <c r="H3" s="62"/>
      <c r="I3" s="62"/>
      <c r="J3" s="45"/>
      <c r="K3" s="62"/>
      <c r="L3" s="62"/>
      <c r="M3" s="62"/>
      <c r="N3" s="45"/>
      <c r="O3" s="62"/>
      <c r="P3" s="62"/>
      <c r="Q3" s="62"/>
      <c r="R3" s="45"/>
      <c r="S3" s="62"/>
      <c r="T3" s="62"/>
      <c r="U3" s="62"/>
      <c r="V3" s="45"/>
      <c r="W3" s="62"/>
      <c r="X3" s="62"/>
      <c r="Y3" s="62"/>
      <c r="Z3" s="45"/>
      <c r="AA3" s="62"/>
      <c r="AB3" s="62"/>
      <c r="AC3" s="62"/>
      <c r="AD3" s="45"/>
      <c r="AE3" s="62"/>
      <c r="AF3" s="62"/>
      <c r="AG3" s="62"/>
      <c r="AH3" s="45"/>
      <c r="AI3" s="62"/>
      <c r="AJ3" s="62"/>
      <c r="AK3" s="62"/>
      <c r="AL3" s="45"/>
      <c r="AM3" s="62"/>
      <c r="AN3" s="62"/>
      <c r="AO3" s="62"/>
      <c r="AP3" s="45"/>
      <c r="AQ3" s="62"/>
      <c r="AR3" s="62"/>
      <c r="AS3" s="62"/>
      <c r="AT3" s="45"/>
      <c r="AU3" s="62"/>
      <c r="AV3" s="62"/>
      <c r="AW3" s="62"/>
      <c r="AX3" s="45"/>
      <c r="AY3" s="62"/>
      <c r="AZ3" s="62"/>
      <c r="BA3" s="62"/>
    </row>
    <row r="4" spans="1:66" ht="31" x14ac:dyDescent="0.25">
      <c r="A4" s="1" t="s">
        <v>4</v>
      </c>
      <c r="B4" s="46">
        <f ca="1">TODAY()</f>
        <v>46293</v>
      </c>
      <c r="C4" s="3"/>
      <c r="F4" s="2"/>
      <c r="G4" s="62"/>
      <c r="H4" s="62"/>
      <c r="I4" s="62"/>
      <c r="J4" s="2"/>
      <c r="K4" s="62"/>
      <c r="L4" s="62"/>
      <c r="M4" s="62"/>
      <c r="N4" s="2"/>
      <c r="O4" s="62"/>
      <c r="P4" s="62"/>
      <c r="Q4" s="62"/>
      <c r="R4" s="2"/>
      <c r="S4" s="62"/>
      <c r="T4" s="62"/>
      <c r="U4" s="62"/>
      <c r="V4" s="2"/>
      <c r="W4" s="62"/>
      <c r="X4" s="62"/>
      <c r="Y4" s="62"/>
      <c r="Z4" s="2"/>
      <c r="AA4" s="62"/>
      <c r="AB4" s="62"/>
      <c r="AC4" s="62"/>
      <c r="AD4" s="2"/>
      <c r="AE4" s="62"/>
      <c r="AF4" s="62"/>
      <c r="AG4" s="62"/>
      <c r="AH4" s="2"/>
      <c r="AI4" s="62"/>
      <c r="AJ4" s="62"/>
      <c r="AK4" s="62"/>
      <c r="AL4" s="2"/>
      <c r="AM4" s="62"/>
      <c r="AN4" s="62"/>
      <c r="AO4" s="62"/>
      <c r="AP4" s="2"/>
      <c r="AQ4" s="62"/>
      <c r="AR4" s="62"/>
      <c r="AS4" s="62"/>
      <c r="AT4" s="2"/>
      <c r="AU4" s="62"/>
      <c r="AV4" s="62"/>
      <c r="AW4" s="62"/>
      <c r="AX4" s="2"/>
      <c r="AY4" s="62"/>
      <c r="AZ4" s="62"/>
      <c r="BA4" s="62"/>
      <c r="BC4" s="68"/>
      <c r="BD4" s="2"/>
      <c r="BE4" s="2"/>
      <c r="BF4" s="2"/>
      <c r="BG4" s="2"/>
      <c r="BI4" s="62"/>
    </row>
    <row r="5" spans="1:66" ht="18" x14ac:dyDescent="0.25">
      <c r="A5" s="1"/>
      <c r="D5" s="43" t="s">
        <v>5</v>
      </c>
      <c r="E5" s="43" t="s">
        <v>6</v>
      </c>
      <c r="F5" s="2"/>
      <c r="G5" s="62"/>
      <c r="H5" s="62"/>
      <c r="I5" s="62"/>
      <c r="J5" s="2"/>
      <c r="K5" s="62"/>
      <c r="L5" s="62"/>
      <c r="M5" s="62"/>
      <c r="N5" s="2"/>
      <c r="O5" s="62"/>
      <c r="P5" s="62"/>
      <c r="Q5" s="62"/>
      <c r="R5" s="2"/>
      <c r="S5" s="62"/>
      <c r="T5" s="62"/>
      <c r="U5" s="62"/>
      <c r="V5" s="2"/>
      <c r="W5" s="62"/>
      <c r="X5" s="62"/>
      <c r="Y5" s="62"/>
      <c r="Z5" s="2"/>
      <c r="AA5" s="62"/>
      <c r="AB5" s="62"/>
      <c r="AC5" s="62"/>
      <c r="AD5" s="2"/>
      <c r="AE5" s="62"/>
      <c r="AF5" s="62"/>
      <c r="AG5" s="62"/>
      <c r="AH5" s="2"/>
      <c r="AI5" s="62"/>
      <c r="AJ5" s="62"/>
      <c r="AK5" s="62"/>
      <c r="AL5" s="2"/>
      <c r="AM5" s="62"/>
      <c r="AN5" s="62"/>
      <c r="AO5" s="62"/>
      <c r="AP5" s="2"/>
      <c r="AQ5" s="62"/>
      <c r="AR5" s="62"/>
      <c r="AS5" s="62"/>
      <c r="AT5" s="2"/>
      <c r="AU5" s="62"/>
      <c r="AV5" s="62"/>
      <c r="AW5" s="62"/>
      <c r="AX5" s="2"/>
      <c r="AY5" s="62"/>
      <c r="AZ5" s="62"/>
      <c r="BA5" s="62"/>
      <c r="BC5" s="68"/>
      <c r="BD5" s="2"/>
      <c r="BE5" s="2"/>
      <c r="BF5" s="2"/>
      <c r="BG5" s="2"/>
      <c r="BH5" s="69"/>
      <c r="BI5" s="62"/>
    </row>
    <row r="6" spans="1:66" ht="18" x14ac:dyDescent="0.25">
      <c r="C6" s="1" t="s">
        <v>7</v>
      </c>
      <c r="D6" s="105">
        <v>0.82</v>
      </c>
      <c r="E6" s="106">
        <v>225000</v>
      </c>
      <c r="F6" s="45"/>
      <c r="G6" s="62"/>
      <c r="H6" s="62"/>
      <c r="I6" s="62"/>
      <c r="J6" s="45"/>
      <c r="K6" s="62"/>
      <c r="L6" s="62"/>
      <c r="M6" s="62"/>
      <c r="N6" s="45"/>
      <c r="O6" s="62"/>
      <c r="P6" s="62"/>
      <c r="Q6" s="62"/>
      <c r="R6" s="45"/>
      <c r="S6" s="62"/>
      <c r="T6" s="62"/>
      <c r="U6" s="62"/>
      <c r="V6" s="45"/>
      <c r="W6" s="62"/>
      <c r="X6" s="62"/>
      <c r="Y6" s="62"/>
      <c r="Z6" s="45"/>
      <c r="AA6" s="62"/>
      <c r="AB6" s="62"/>
      <c r="AC6" s="62"/>
      <c r="AD6" s="45"/>
      <c r="AE6" s="62"/>
      <c r="AF6" s="62"/>
      <c r="AG6" s="62"/>
      <c r="AH6" s="45"/>
      <c r="AI6" s="62"/>
      <c r="AJ6" s="62"/>
      <c r="AK6" s="62"/>
      <c r="AL6" s="45"/>
      <c r="AM6" s="62"/>
      <c r="AN6" s="62"/>
      <c r="AO6" s="62"/>
      <c r="AP6" s="45"/>
      <c r="AQ6" s="62"/>
      <c r="AR6" s="62"/>
      <c r="AS6" s="62"/>
      <c r="AT6" s="45"/>
      <c r="AU6" s="62"/>
      <c r="AV6" s="62"/>
      <c r="AW6" s="62"/>
      <c r="AX6" s="45"/>
      <c r="AY6" s="62"/>
      <c r="AZ6" s="62"/>
      <c r="BA6" s="62"/>
      <c r="BC6" s="68"/>
      <c r="BD6" s="2"/>
      <c r="BE6" s="2"/>
      <c r="BF6" s="2"/>
      <c r="BG6" s="2"/>
      <c r="BH6" s="69"/>
      <c r="BI6" s="62"/>
    </row>
    <row r="7" spans="1:66" ht="32" thickBot="1" x14ac:dyDescent="0.3">
      <c r="A7" s="110" t="s">
        <v>8</v>
      </c>
      <c r="B7" s="107" t="s">
        <v>9</v>
      </c>
      <c r="C7" s="1" t="s">
        <v>10</v>
      </c>
      <c r="D7" s="105">
        <v>0.18</v>
      </c>
      <c r="E7" s="106">
        <v>50000</v>
      </c>
      <c r="F7" s="2"/>
      <c r="G7" s="62"/>
      <c r="H7" s="62"/>
      <c r="I7" s="62"/>
      <c r="J7" s="2"/>
      <c r="K7" s="62"/>
      <c r="L7" s="62"/>
      <c r="M7" s="62"/>
      <c r="N7" s="2"/>
      <c r="O7" s="62"/>
      <c r="P7" s="62"/>
      <c r="Q7" s="62"/>
      <c r="R7" s="2"/>
      <c r="S7" s="62"/>
      <c r="T7" s="62"/>
      <c r="U7" s="62"/>
      <c r="V7" s="2"/>
      <c r="W7" s="62"/>
      <c r="X7" s="62"/>
      <c r="Y7" s="62"/>
      <c r="Z7" s="2"/>
      <c r="AA7" s="62"/>
      <c r="AB7" s="62"/>
      <c r="AC7" s="62"/>
      <c r="AD7" s="2"/>
      <c r="AE7" s="62"/>
      <c r="AF7" s="62"/>
      <c r="AG7" s="62"/>
      <c r="AH7" s="2"/>
      <c r="AI7" s="62"/>
      <c r="AJ7" s="62"/>
      <c r="AK7" s="62"/>
      <c r="AL7" s="2"/>
      <c r="AM7" s="62"/>
      <c r="AN7" s="62"/>
      <c r="AO7" s="62"/>
      <c r="AP7" s="2"/>
      <c r="AQ7" s="62"/>
      <c r="AR7" s="62"/>
      <c r="AS7" s="62"/>
      <c r="AT7" s="2"/>
      <c r="AU7" s="62"/>
      <c r="AV7" s="62"/>
      <c r="AW7" s="62"/>
      <c r="AX7" s="2"/>
      <c r="AY7" s="62"/>
      <c r="AZ7" s="62"/>
      <c r="BA7" s="62"/>
      <c r="BC7" s="68"/>
      <c r="BD7" s="2"/>
      <c r="BE7" s="2"/>
      <c r="BF7" s="2"/>
      <c r="BG7" s="2"/>
      <c r="BH7" s="69"/>
      <c r="BI7" s="62"/>
    </row>
    <row r="8" spans="1:66" ht="26.5" thickBot="1" x14ac:dyDescent="0.3">
      <c r="C8" s="3"/>
      <c r="D8" s="44">
        <f>SUM(D6:D7)</f>
        <v>1</v>
      </c>
      <c r="E8" s="115">
        <f>SUM(E6:E7)</f>
        <v>275000</v>
      </c>
      <c r="F8" s="18"/>
      <c r="G8" s="5">
        <v>1</v>
      </c>
      <c r="J8" s="18"/>
      <c r="K8" s="5">
        <v>2</v>
      </c>
      <c r="N8" s="18"/>
      <c r="O8" s="5">
        <v>3</v>
      </c>
      <c r="R8" s="18"/>
      <c r="S8" s="5">
        <v>4</v>
      </c>
      <c r="V8" s="18"/>
      <c r="W8" s="5">
        <v>5</v>
      </c>
      <c r="Z8" s="18"/>
      <c r="AA8" s="5">
        <v>6</v>
      </c>
      <c r="AD8" s="18"/>
      <c r="AE8" s="5">
        <v>7</v>
      </c>
      <c r="AH8" s="18"/>
      <c r="AI8" s="5">
        <v>8</v>
      </c>
      <c r="AL8" s="18"/>
      <c r="AM8" s="5">
        <v>9</v>
      </c>
      <c r="AP8" s="18"/>
      <c r="AQ8" s="5">
        <v>10</v>
      </c>
      <c r="AT8" s="18"/>
      <c r="AU8" s="5">
        <v>11</v>
      </c>
      <c r="AX8" s="18"/>
      <c r="AY8" s="5">
        <v>12</v>
      </c>
      <c r="BC8" s="87" t="s">
        <v>11</v>
      </c>
      <c r="BD8" s="88" t="s">
        <v>12</v>
      </c>
      <c r="BE8" s="89" t="s">
        <v>13</v>
      </c>
      <c r="BF8" s="89" t="s">
        <v>13</v>
      </c>
      <c r="BG8" s="89" t="s">
        <v>13</v>
      </c>
      <c r="BH8" s="90" t="s">
        <v>14</v>
      </c>
      <c r="BI8" s="116"/>
      <c r="BJ8" s="91"/>
    </row>
    <row r="9" spans="1:66" s="6" customFormat="1" ht="32.25" customHeight="1" x14ac:dyDescent="0.25">
      <c r="A9" s="35"/>
      <c r="B9" s="32" t="s">
        <v>15</v>
      </c>
      <c r="C9" s="30" t="s">
        <v>16</v>
      </c>
      <c r="D9" s="89" t="s">
        <v>17</v>
      </c>
      <c r="E9" s="113" t="s">
        <v>18</v>
      </c>
      <c r="F9" s="130" t="s">
        <v>19</v>
      </c>
      <c r="G9" s="131"/>
      <c r="H9" s="131"/>
      <c r="I9" s="132"/>
      <c r="J9" s="130" t="s">
        <v>20</v>
      </c>
      <c r="K9" s="131"/>
      <c r="L9" s="131"/>
      <c r="M9" s="132"/>
      <c r="N9" s="130" t="s">
        <v>21</v>
      </c>
      <c r="O9" s="131"/>
      <c r="P9" s="131"/>
      <c r="Q9" s="132"/>
      <c r="R9" s="130" t="s">
        <v>22</v>
      </c>
      <c r="S9" s="131"/>
      <c r="T9" s="131"/>
      <c r="U9" s="132"/>
      <c r="V9" s="130" t="s">
        <v>23</v>
      </c>
      <c r="W9" s="131"/>
      <c r="X9" s="131"/>
      <c r="Y9" s="132"/>
      <c r="Z9" s="130" t="s">
        <v>24</v>
      </c>
      <c r="AA9" s="131"/>
      <c r="AB9" s="131"/>
      <c r="AC9" s="132"/>
      <c r="AD9" s="130" t="s">
        <v>25</v>
      </c>
      <c r="AE9" s="131"/>
      <c r="AF9" s="131"/>
      <c r="AG9" s="132"/>
      <c r="AH9" s="130" t="s">
        <v>26</v>
      </c>
      <c r="AI9" s="131"/>
      <c r="AJ9" s="131"/>
      <c r="AK9" s="132"/>
      <c r="AL9" s="130" t="s">
        <v>27</v>
      </c>
      <c r="AM9" s="131"/>
      <c r="AN9" s="131"/>
      <c r="AO9" s="132"/>
      <c r="AP9" s="130" t="s">
        <v>28</v>
      </c>
      <c r="AQ9" s="131"/>
      <c r="AR9" s="131"/>
      <c r="AS9" s="132"/>
      <c r="AT9" s="130" t="s">
        <v>29</v>
      </c>
      <c r="AU9" s="131"/>
      <c r="AV9" s="131"/>
      <c r="AW9" s="132"/>
      <c r="AX9" s="130" t="s">
        <v>30</v>
      </c>
      <c r="AY9" s="131"/>
      <c r="AZ9" s="131"/>
      <c r="BA9" s="132"/>
      <c r="BB9" s="117" t="s">
        <v>31</v>
      </c>
      <c r="BC9" s="92" t="s">
        <v>32</v>
      </c>
      <c r="BD9" s="71" t="s">
        <v>11</v>
      </c>
      <c r="BE9" s="71" t="s">
        <v>33</v>
      </c>
      <c r="BF9" s="71" t="s">
        <v>34</v>
      </c>
      <c r="BG9" s="71" t="s">
        <v>35</v>
      </c>
      <c r="BH9" s="118" t="s">
        <v>36</v>
      </c>
      <c r="BI9" s="71" t="s">
        <v>37</v>
      </c>
      <c r="BJ9" s="93" t="s">
        <v>38</v>
      </c>
      <c r="BK9" s="119"/>
      <c r="BL9" s="119"/>
      <c r="BM9" s="119"/>
      <c r="BN9" s="119"/>
    </row>
    <row r="10" spans="1:66" s="19" customFormat="1" ht="18" customHeight="1" x14ac:dyDescent="0.25">
      <c r="A10" s="21" t="s">
        <v>39</v>
      </c>
      <c r="B10" s="33"/>
      <c r="C10" s="26"/>
      <c r="D10" s="120"/>
      <c r="E10" s="121"/>
      <c r="F10" s="122" t="s">
        <v>40</v>
      </c>
      <c r="G10" s="123" t="s">
        <v>41</v>
      </c>
      <c r="H10" s="123" t="s">
        <v>42</v>
      </c>
      <c r="I10" s="124" t="s">
        <v>43</v>
      </c>
      <c r="J10" s="122" t="s">
        <v>40</v>
      </c>
      <c r="K10" s="123" t="s">
        <v>41</v>
      </c>
      <c r="L10" s="123" t="s">
        <v>42</v>
      </c>
      <c r="M10" s="124" t="s">
        <v>43</v>
      </c>
      <c r="N10" s="122" t="s">
        <v>40</v>
      </c>
      <c r="O10" s="123" t="s">
        <v>41</v>
      </c>
      <c r="P10" s="123" t="s">
        <v>42</v>
      </c>
      <c r="Q10" s="124" t="s">
        <v>43</v>
      </c>
      <c r="R10" s="122" t="s">
        <v>40</v>
      </c>
      <c r="S10" s="123" t="s">
        <v>41</v>
      </c>
      <c r="T10" s="123" t="s">
        <v>42</v>
      </c>
      <c r="U10" s="124" t="s">
        <v>43</v>
      </c>
      <c r="V10" s="122" t="s">
        <v>40</v>
      </c>
      <c r="W10" s="123" t="s">
        <v>41</v>
      </c>
      <c r="X10" s="123" t="s">
        <v>42</v>
      </c>
      <c r="Y10" s="124" t="s">
        <v>43</v>
      </c>
      <c r="Z10" s="122" t="s">
        <v>40</v>
      </c>
      <c r="AA10" s="123" t="s">
        <v>41</v>
      </c>
      <c r="AB10" s="123" t="s">
        <v>42</v>
      </c>
      <c r="AC10" s="124" t="s">
        <v>43</v>
      </c>
      <c r="AD10" s="122" t="s">
        <v>40</v>
      </c>
      <c r="AE10" s="123" t="s">
        <v>41</v>
      </c>
      <c r="AF10" s="123" t="s">
        <v>42</v>
      </c>
      <c r="AG10" s="124" t="s">
        <v>43</v>
      </c>
      <c r="AH10" s="122" t="s">
        <v>40</v>
      </c>
      <c r="AI10" s="123" t="s">
        <v>41</v>
      </c>
      <c r="AJ10" s="123" t="s">
        <v>42</v>
      </c>
      <c r="AK10" s="124" t="s">
        <v>43</v>
      </c>
      <c r="AL10" s="122" t="s">
        <v>40</v>
      </c>
      <c r="AM10" s="123" t="s">
        <v>41</v>
      </c>
      <c r="AN10" s="123" t="s">
        <v>42</v>
      </c>
      <c r="AO10" s="124" t="s">
        <v>43</v>
      </c>
      <c r="AP10" s="122" t="s">
        <v>40</v>
      </c>
      <c r="AQ10" s="123" t="s">
        <v>41</v>
      </c>
      <c r="AR10" s="123" t="s">
        <v>42</v>
      </c>
      <c r="AS10" s="124" t="s">
        <v>43</v>
      </c>
      <c r="AT10" s="122" t="s">
        <v>40</v>
      </c>
      <c r="AU10" s="123" t="s">
        <v>41</v>
      </c>
      <c r="AV10" s="123" t="s">
        <v>42</v>
      </c>
      <c r="AW10" s="124" t="s">
        <v>43</v>
      </c>
      <c r="AX10" s="122" t="s">
        <v>40</v>
      </c>
      <c r="AY10" s="123" t="s">
        <v>41</v>
      </c>
      <c r="AZ10" s="123" t="s">
        <v>42</v>
      </c>
      <c r="BA10" s="124" t="s">
        <v>43</v>
      </c>
      <c r="BB10" s="121"/>
      <c r="BC10" s="122"/>
      <c r="BD10" s="120"/>
      <c r="BE10" s="120"/>
      <c r="BF10" s="120"/>
      <c r="BG10" s="120"/>
      <c r="BH10" s="120"/>
      <c r="BI10" s="120"/>
      <c r="BJ10" s="125"/>
      <c r="BK10" s="126"/>
      <c r="BL10" s="126"/>
      <c r="BM10" s="126"/>
      <c r="BN10" s="126"/>
    </row>
    <row r="11" spans="1:66" ht="34.9" customHeight="1" x14ac:dyDescent="0.25">
      <c r="A11" s="49"/>
      <c r="B11" s="48" t="s">
        <v>44</v>
      </c>
      <c r="C11" s="50" t="s">
        <v>45</v>
      </c>
      <c r="D11" s="103" t="s">
        <v>46</v>
      </c>
      <c r="E11" s="108">
        <v>228000</v>
      </c>
      <c r="F11" s="7">
        <f>ROUND(IF($D11="Y",($E11/12)*I11,($E$2/12)*I11),2)</f>
        <v>3990</v>
      </c>
      <c r="G11" s="73">
        <f>ROUND(F11/$E$3,4)</f>
        <v>0.1741</v>
      </c>
      <c r="H11" s="73">
        <f>ROUND(F11/($E$6/12),4)</f>
        <v>0.21279999999999999</v>
      </c>
      <c r="I11" s="74">
        <v>0.21</v>
      </c>
      <c r="J11" s="7">
        <f>ROUND(IF($D11="Y",($E11/12)*M11,($E$2/12)*M11),2)</f>
        <v>3990</v>
      </c>
      <c r="K11" s="73">
        <f>ROUND(J11/$E$3,4)</f>
        <v>0.1741</v>
      </c>
      <c r="L11" s="73">
        <f>ROUND(J11/($E$6/12),4)</f>
        <v>0.21279999999999999</v>
      </c>
      <c r="M11" s="74">
        <f>I11</f>
        <v>0.21</v>
      </c>
      <c r="N11" s="7">
        <f>ROUND(IF($D11="Y",($E11/12)*Q11,($E$2/12)*Q11),2)</f>
        <v>3990</v>
      </c>
      <c r="O11" s="73">
        <f>ROUND(N11/$E$3,4)</f>
        <v>0.1741</v>
      </c>
      <c r="P11" s="73">
        <f>ROUND(N11/($E$6/12),4)</f>
        <v>0.21279999999999999</v>
      </c>
      <c r="Q11" s="74">
        <f>M11</f>
        <v>0.21</v>
      </c>
      <c r="R11" s="7">
        <f>ROUND(IF($D11="Y",($E11/12)*U11,($E$2/12)*U11),2)</f>
        <v>3990</v>
      </c>
      <c r="S11" s="73">
        <f>ROUND(R11/$E$3,4)</f>
        <v>0.1741</v>
      </c>
      <c r="T11" s="73">
        <f>ROUND(R11/($E$6/12),4)</f>
        <v>0.21279999999999999</v>
      </c>
      <c r="U11" s="74">
        <f>Q11</f>
        <v>0.21</v>
      </c>
      <c r="V11" s="7">
        <f>ROUND(IF($D11="Y",($E11/12)*Y11,($E$2/12)*Y11),2)</f>
        <v>3990</v>
      </c>
      <c r="W11" s="73">
        <f>ROUND(V11/$E$3,4)</f>
        <v>0.1741</v>
      </c>
      <c r="X11" s="73">
        <f>ROUND(V11/($E$6/12),4)</f>
        <v>0.21279999999999999</v>
      </c>
      <c r="Y11" s="74">
        <f>U11</f>
        <v>0.21</v>
      </c>
      <c r="Z11" s="7">
        <f>ROUND(IF($D11="Y",($E11/12)*AC11,($E$2/12)*AC11),2)</f>
        <v>3990</v>
      </c>
      <c r="AA11" s="73">
        <f>ROUND(Z11/$E$3,4)</f>
        <v>0.1741</v>
      </c>
      <c r="AB11" s="73">
        <f>ROUND(Z11/($E$6/12),4)</f>
        <v>0.21279999999999999</v>
      </c>
      <c r="AC11" s="74">
        <f>Y11</f>
        <v>0.21</v>
      </c>
      <c r="AD11" s="7">
        <f>ROUND(IF($D11="Y",($E11/12)*AG11,($E$2/12)*AG11),2)</f>
        <v>3990</v>
      </c>
      <c r="AE11" s="73">
        <f>ROUND(AD11/$E$3,4)</f>
        <v>0.1741</v>
      </c>
      <c r="AF11" s="73">
        <f>ROUND(AD11/($E$6/12),4)</f>
        <v>0.21279999999999999</v>
      </c>
      <c r="AG11" s="74">
        <f>AC11</f>
        <v>0.21</v>
      </c>
      <c r="AH11" s="7">
        <f>ROUND(IF($D11="Y",($E11/12)*AK11,($E$2/12)*AK11),2)</f>
        <v>3990</v>
      </c>
      <c r="AI11" s="73">
        <f>ROUND(AH11/$E$3,4)</f>
        <v>0.1741</v>
      </c>
      <c r="AJ11" s="73">
        <f>ROUND(AH11/($E$6/12),4)</f>
        <v>0.21279999999999999</v>
      </c>
      <c r="AK11" s="74">
        <f>AG11</f>
        <v>0.21</v>
      </c>
      <c r="AL11" s="7">
        <f>ROUND(IF($D11="Y",($E11/12)*AO11,($E$2/12)*AO11),2)</f>
        <v>3990</v>
      </c>
      <c r="AM11" s="73">
        <f>ROUND(AL11/$E$3,4)</f>
        <v>0.1741</v>
      </c>
      <c r="AN11" s="73">
        <f>ROUND(AL11/($E$6/12),4)</f>
        <v>0.21279999999999999</v>
      </c>
      <c r="AO11" s="74">
        <f>AK11</f>
        <v>0.21</v>
      </c>
      <c r="AP11" s="7">
        <f>ROUND(IF($D11="Y",($E11/12)*AS11,($E$2/12)*AS11),2)</f>
        <v>3990</v>
      </c>
      <c r="AQ11" s="73">
        <f>ROUND(AP11/$E$3,4)</f>
        <v>0.1741</v>
      </c>
      <c r="AR11" s="73">
        <f>ROUND(AP11/($E$6/12),4)</f>
        <v>0.21279999999999999</v>
      </c>
      <c r="AS11" s="74">
        <f>AO11</f>
        <v>0.21</v>
      </c>
      <c r="AT11" s="7">
        <f>ROUND(IF($D11="Y",($E11/12)*AW11,($E$2/12)*AW11),2)</f>
        <v>3990</v>
      </c>
      <c r="AU11" s="73">
        <f>ROUND(AT11/$E$3,4)</f>
        <v>0.1741</v>
      </c>
      <c r="AV11" s="73">
        <f>ROUND(AT11/($E$6/12),4)</f>
        <v>0.21279999999999999</v>
      </c>
      <c r="AW11" s="74">
        <f>AS11</f>
        <v>0.21</v>
      </c>
      <c r="AX11" s="7">
        <f>ROUND(IF($D11="Y",($E11/12)*BA11,($E$2/12)*BA11),2)</f>
        <v>3990</v>
      </c>
      <c r="AY11" s="73">
        <f>ROUND(AX11/$E$3,4)</f>
        <v>0.1741</v>
      </c>
      <c r="AZ11" s="73">
        <f>ROUND(AX11/($E$6/12),4)</f>
        <v>0.21279999999999999</v>
      </c>
      <c r="BA11" s="74">
        <f>AW11</f>
        <v>0.21</v>
      </c>
      <c r="BB11" s="37">
        <f>AX11+AT11+AP11+AL11+AH11+AD11+Z11+V11+R11+N11+J11+F11</f>
        <v>47880</v>
      </c>
      <c r="BC11" s="94">
        <f>BD11</f>
        <v>12</v>
      </c>
      <c r="BD11" s="64">
        <v>12</v>
      </c>
      <c r="BE11" s="63">
        <f t="shared" ref="BE11:BF14" si="0">ROUND((AY11+AU11+AQ11+AM11+AI11+G11+K11+O11+S11+W11+AA11+AE11)/$BD11,4)</f>
        <v>0.1741</v>
      </c>
      <c r="BF11" s="63">
        <f t="shared" si="0"/>
        <v>0.21279999999999999</v>
      </c>
      <c r="BG11" s="63">
        <f>ROUND((BA11+AW11+AS11+AO11+AK11+AG11+AC11+Y11+U11+Q11+M11+I11)/BD11,4)</f>
        <v>0.21</v>
      </c>
      <c r="BH11" s="99">
        <v>0.21</v>
      </c>
      <c r="BI11" s="100" t="s">
        <v>47</v>
      </c>
      <c r="BJ11" s="95">
        <f>BH11-BG11</f>
        <v>0</v>
      </c>
    </row>
    <row r="12" spans="1:66" ht="34.9" customHeight="1" x14ac:dyDescent="0.25">
      <c r="A12" s="49"/>
      <c r="B12" s="48" t="s">
        <v>48</v>
      </c>
      <c r="C12" s="50" t="s">
        <v>49</v>
      </c>
      <c r="D12" s="112" t="s">
        <v>46</v>
      </c>
      <c r="E12" s="108">
        <v>228000</v>
      </c>
      <c r="F12" s="7">
        <f>ROUND(IF($D12="Y",($E12/12)*I12,($E$2/12)*I12),2)</f>
        <v>5700</v>
      </c>
      <c r="G12" s="73">
        <f>ROUND(F12/$E$3,4)</f>
        <v>0.2487</v>
      </c>
      <c r="H12" s="73">
        <f>ROUND(F12/($E$6/12),4)</f>
        <v>0.30399999999999999</v>
      </c>
      <c r="I12" s="74">
        <v>0.3</v>
      </c>
      <c r="J12" s="7">
        <f>ROUND(IF($D12="Y",($E12/12)*M12,($E$2/12)*M12),2)</f>
        <v>5700</v>
      </c>
      <c r="K12" s="73">
        <f>ROUND(J12/$E$3,4)</f>
        <v>0.2487</v>
      </c>
      <c r="L12" s="73">
        <f>ROUND(J12/($E$6/12),4)</f>
        <v>0.30399999999999999</v>
      </c>
      <c r="M12" s="74">
        <f>I12</f>
        <v>0.3</v>
      </c>
      <c r="N12" s="7">
        <f>ROUND(IF($D12="Y",($E12/12)*Q12,($E$2/12)*Q12),2)</f>
        <v>5700</v>
      </c>
      <c r="O12" s="73">
        <f>ROUND(N12/$E$3,4)</f>
        <v>0.2487</v>
      </c>
      <c r="P12" s="73">
        <f>ROUND(N12/($E$6/12),4)</f>
        <v>0.30399999999999999</v>
      </c>
      <c r="Q12" s="74">
        <f>M12</f>
        <v>0.3</v>
      </c>
      <c r="R12" s="7">
        <f>ROUND(IF($D12="Y",($E12/12)*U12,($E$2/12)*U12),2)</f>
        <v>5700</v>
      </c>
      <c r="S12" s="73">
        <f>ROUND(R12/$E$3,4)</f>
        <v>0.2487</v>
      </c>
      <c r="T12" s="73">
        <f>ROUND(R12/($E$6/12),4)</f>
        <v>0.30399999999999999</v>
      </c>
      <c r="U12" s="74">
        <f>Q12</f>
        <v>0.3</v>
      </c>
      <c r="V12" s="7">
        <f>ROUND(IF($D12="Y",($E12/12)*Y12,($E$2/12)*Y12),2)</f>
        <v>5700</v>
      </c>
      <c r="W12" s="73">
        <f>ROUND(V12/$E$3,4)</f>
        <v>0.2487</v>
      </c>
      <c r="X12" s="73">
        <f>ROUND(V12/($E$6/12),4)</f>
        <v>0.30399999999999999</v>
      </c>
      <c r="Y12" s="74">
        <f>U12</f>
        <v>0.3</v>
      </c>
      <c r="Z12" s="7">
        <f>ROUND(IF($D12="Y",($E12/12)*AC12,($E$2/12)*AC12),2)</f>
        <v>5700</v>
      </c>
      <c r="AA12" s="73">
        <f>ROUND(Z12/$E$3,4)</f>
        <v>0.2487</v>
      </c>
      <c r="AB12" s="73">
        <f>ROUND(Z12/($E$6/12),4)</f>
        <v>0.30399999999999999</v>
      </c>
      <c r="AC12" s="74">
        <f>Y12</f>
        <v>0.3</v>
      </c>
      <c r="AD12" s="7">
        <f>ROUND(IF($D12="Y",($E12/12)*AG12,($E$2/12)*AG12),2)</f>
        <v>5700</v>
      </c>
      <c r="AE12" s="73">
        <f>ROUND(AD12/$E$3,4)</f>
        <v>0.2487</v>
      </c>
      <c r="AF12" s="73">
        <f>ROUND(AD12/($E$6/12),4)</f>
        <v>0.30399999999999999</v>
      </c>
      <c r="AG12" s="74">
        <f>AC12</f>
        <v>0.3</v>
      </c>
      <c r="AH12" s="7">
        <f>ROUND(IF($D12="Y",($E12/12)*AK12,($E$2/12)*AK12),2)</f>
        <v>5700</v>
      </c>
      <c r="AI12" s="73">
        <f>ROUND(AH12/$E$3,4)</f>
        <v>0.2487</v>
      </c>
      <c r="AJ12" s="73">
        <f>ROUND(AH12/($E$6/12),4)</f>
        <v>0.30399999999999999</v>
      </c>
      <c r="AK12" s="74">
        <f>AG12</f>
        <v>0.3</v>
      </c>
      <c r="AL12" s="7">
        <f>ROUND(IF($D12="Y",($E12/12)*AO12,($E$2/12)*AO12),2)</f>
        <v>5700</v>
      </c>
      <c r="AM12" s="73">
        <f>ROUND(AL12/$E$3,4)</f>
        <v>0.2487</v>
      </c>
      <c r="AN12" s="73">
        <f>ROUND(AL12/($E$6/12),4)</f>
        <v>0.30399999999999999</v>
      </c>
      <c r="AO12" s="74">
        <f>AK12</f>
        <v>0.3</v>
      </c>
      <c r="AP12" s="7">
        <f>ROUND(IF($D12="Y",($E12/12)*AS12,($E$2/12)*AS12),2)</f>
        <v>5700</v>
      </c>
      <c r="AQ12" s="73">
        <f>ROUND(AP12/$E$3,4)</f>
        <v>0.2487</v>
      </c>
      <c r="AR12" s="73">
        <f>ROUND(AP12/($E$6/12),4)</f>
        <v>0.30399999999999999</v>
      </c>
      <c r="AS12" s="74">
        <f>AO12</f>
        <v>0.3</v>
      </c>
      <c r="AT12" s="7">
        <f>ROUND(IF($D12="Y",($E12/12)*AW12,($E$2/12)*AW12),2)</f>
        <v>5700</v>
      </c>
      <c r="AU12" s="73">
        <f>ROUND(AT12/$E$3,4)</f>
        <v>0.2487</v>
      </c>
      <c r="AV12" s="73">
        <f>ROUND(AT12/($E$6/12),4)</f>
        <v>0.30399999999999999</v>
      </c>
      <c r="AW12" s="74">
        <f>AS12</f>
        <v>0.3</v>
      </c>
      <c r="AX12" s="7">
        <f>ROUND(IF($D12="Y",($E12/12)*BA12,($E$2/12)*BA12),2)</f>
        <v>5700</v>
      </c>
      <c r="AY12" s="73">
        <f>ROUND(AX12/$E$3,4)</f>
        <v>0.2487</v>
      </c>
      <c r="AZ12" s="73">
        <f>ROUND(AX12/($E$6/12),4)</f>
        <v>0.30399999999999999</v>
      </c>
      <c r="BA12" s="74">
        <f>AW12</f>
        <v>0.3</v>
      </c>
      <c r="BB12" s="37">
        <f>AX12+AT12+AP12+AL12+AH12+AD12+Z12+V12+R12+N12+J12+F12</f>
        <v>68400</v>
      </c>
      <c r="BC12" s="94">
        <f>BD12</f>
        <v>12</v>
      </c>
      <c r="BD12" s="64">
        <v>12</v>
      </c>
      <c r="BE12" s="63">
        <f t="shared" si="0"/>
        <v>0.2487</v>
      </c>
      <c r="BF12" s="63">
        <f t="shared" si="0"/>
        <v>0.30399999999999999</v>
      </c>
      <c r="BG12" s="63">
        <f>ROUND((BA12+AW12+AS12+AO12+AK12+AG12+AC12+Y12+U12+Q12+M12+I12)/BD12,4)</f>
        <v>0.3</v>
      </c>
      <c r="BH12" s="101">
        <v>0.3</v>
      </c>
      <c r="BI12" s="100" t="s">
        <v>50</v>
      </c>
      <c r="BJ12" s="95">
        <f>BH12-BG12</f>
        <v>0</v>
      </c>
    </row>
    <row r="13" spans="1:66" ht="34.9" customHeight="1" x14ac:dyDescent="0.25">
      <c r="A13" s="49"/>
      <c r="B13" s="48" t="s">
        <v>51</v>
      </c>
      <c r="C13" s="50" t="s">
        <v>52</v>
      </c>
      <c r="D13" s="103" t="s">
        <v>46</v>
      </c>
      <c r="E13" s="108">
        <v>228000</v>
      </c>
      <c r="F13" s="7">
        <f>ROUND(IF($D13="Y",($E13/12)*I13,($E$2/12)*I13),2)</f>
        <v>1900</v>
      </c>
      <c r="G13" s="73">
        <f>ROUND(F13/$E$3,4)</f>
        <v>8.2900000000000001E-2</v>
      </c>
      <c r="H13" s="73">
        <f>ROUND(F13/($E$6/12),4)</f>
        <v>0.1013</v>
      </c>
      <c r="I13" s="74">
        <v>0.1</v>
      </c>
      <c r="J13" s="7">
        <f>ROUND(IF($D13="Y",($E13/12)*M13,($E$2/12)*M13),2)</f>
        <v>1900</v>
      </c>
      <c r="K13" s="73">
        <f>ROUND(J13/$E$3,4)</f>
        <v>8.2900000000000001E-2</v>
      </c>
      <c r="L13" s="73">
        <f>ROUND(J13/($E$6/12),4)</f>
        <v>0.1013</v>
      </c>
      <c r="M13" s="74">
        <f>I13</f>
        <v>0.1</v>
      </c>
      <c r="N13" s="7">
        <f>ROUND(IF($D13="Y",($E13/12)*Q13,($E$2/12)*Q13),2)</f>
        <v>1900</v>
      </c>
      <c r="O13" s="73">
        <f>ROUND(N13/$E$3,4)</f>
        <v>8.2900000000000001E-2</v>
      </c>
      <c r="P13" s="73">
        <f>ROUND(N13/($E$6/12),4)</f>
        <v>0.1013</v>
      </c>
      <c r="Q13" s="74">
        <f>M13</f>
        <v>0.1</v>
      </c>
      <c r="R13" s="7">
        <f>ROUND(IF($D13="Y",($E13/12)*U13,($E$2/12)*U13),2)</f>
        <v>1900</v>
      </c>
      <c r="S13" s="73">
        <f>ROUND(R13/$E$3,4)</f>
        <v>8.2900000000000001E-2</v>
      </c>
      <c r="T13" s="73">
        <f>ROUND(R13/($E$6/12),4)</f>
        <v>0.1013</v>
      </c>
      <c r="U13" s="74">
        <f>Q13</f>
        <v>0.1</v>
      </c>
      <c r="V13" s="7">
        <f>ROUND(IF($D13="Y",($E13/12)*Y13,($E$2/12)*Y13),2)</f>
        <v>1900</v>
      </c>
      <c r="W13" s="73">
        <f>ROUND(V13/$E$3,4)</f>
        <v>8.2900000000000001E-2</v>
      </c>
      <c r="X13" s="73">
        <f>ROUND(V13/($E$6/12),4)</f>
        <v>0.1013</v>
      </c>
      <c r="Y13" s="74">
        <f>U13</f>
        <v>0.1</v>
      </c>
      <c r="Z13" s="7">
        <f>ROUND(IF($D13="Y",($E13/12)*AC13,($E$2/12)*AC13),2)</f>
        <v>1900</v>
      </c>
      <c r="AA13" s="73">
        <f>ROUND(Z13/$E$3,4)</f>
        <v>8.2900000000000001E-2</v>
      </c>
      <c r="AB13" s="73">
        <f>ROUND(Z13/($E$6/12),4)</f>
        <v>0.1013</v>
      </c>
      <c r="AC13" s="74">
        <f>Y13</f>
        <v>0.1</v>
      </c>
      <c r="AD13" s="7">
        <f>ROUND(IF($D13="Y",($E13/12)*AG13,($E$2/12)*AG13),2)</f>
        <v>1900</v>
      </c>
      <c r="AE13" s="73">
        <f>ROUND(AD13/$E$3,4)</f>
        <v>8.2900000000000001E-2</v>
      </c>
      <c r="AF13" s="73">
        <f>ROUND(AD13/($E$6/12),4)</f>
        <v>0.1013</v>
      </c>
      <c r="AG13" s="74">
        <f>AC13</f>
        <v>0.1</v>
      </c>
      <c r="AH13" s="7">
        <f>ROUND(IF($D13="Y",($E13/12)*AK13,($E$2/12)*AK13),2)</f>
        <v>1900</v>
      </c>
      <c r="AI13" s="73">
        <f>ROUND(AH13/$E$3,4)</f>
        <v>8.2900000000000001E-2</v>
      </c>
      <c r="AJ13" s="73">
        <f>ROUND(AH13/($E$6/12),4)</f>
        <v>0.1013</v>
      </c>
      <c r="AK13" s="74">
        <f>AG13</f>
        <v>0.1</v>
      </c>
      <c r="AL13" s="7">
        <f>ROUND(IF($D13="Y",($E13/12)*AO13,($E$2/12)*AO13),2)</f>
        <v>1900</v>
      </c>
      <c r="AM13" s="73">
        <f>ROUND(AL13/$E$3,4)</f>
        <v>8.2900000000000001E-2</v>
      </c>
      <c r="AN13" s="73">
        <f>ROUND(AL13/($E$6/12),4)</f>
        <v>0.1013</v>
      </c>
      <c r="AO13" s="74">
        <f>AK13</f>
        <v>0.1</v>
      </c>
      <c r="AP13" s="7">
        <f>ROUND(IF($D13="Y",($E13/12)*AS13,($E$2/12)*AS13),2)</f>
        <v>1900</v>
      </c>
      <c r="AQ13" s="73">
        <f>ROUND(AP13/$E$3,4)</f>
        <v>8.2900000000000001E-2</v>
      </c>
      <c r="AR13" s="73">
        <f>ROUND(AP13/($E$6/12),4)</f>
        <v>0.1013</v>
      </c>
      <c r="AS13" s="74">
        <f>AO13</f>
        <v>0.1</v>
      </c>
      <c r="AT13" s="7">
        <f>ROUND(IF($D13="Y",($E13/12)*AW13,($E$2/12)*AW13),2)</f>
        <v>1900</v>
      </c>
      <c r="AU13" s="73">
        <f>ROUND(AT13/$E$3,4)</f>
        <v>8.2900000000000001E-2</v>
      </c>
      <c r="AV13" s="73">
        <f>ROUND(AT13/($E$6/12),4)</f>
        <v>0.1013</v>
      </c>
      <c r="AW13" s="74">
        <f>AS13</f>
        <v>0.1</v>
      </c>
      <c r="AX13" s="7">
        <f>ROUND(IF($D13="Y",($E13/12)*BA13,($E$2/12)*BA13),2)</f>
        <v>1900</v>
      </c>
      <c r="AY13" s="73">
        <f>ROUND(AX13/$E$3,4)</f>
        <v>8.2900000000000001E-2</v>
      </c>
      <c r="AZ13" s="73">
        <f>ROUND(AX13/($E$6/12),4)</f>
        <v>0.1013</v>
      </c>
      <c r="BA13" s="74">
        <f>AW13</f>
        <v>0.1</v>
      </c>
      <c r="BB13" s="37">
        <f>AX13+AT13+AP13+AL13+AH13+AD13+Z13+V13+R13+N13+J13+F13</f>
        <v>22800</v>
      </c>
      <c r="BC13" s="94">
        <f>BD13</f>
        <v>12</v>
      </c>
      <c r="BD13" s="64">
        <v>12</v>
      </c>
      <c r="BE13" s="63">
        <f t="shared" si="0"/>
        <v>8.2900000000000001E-2</v>
      </c>
      <c r="BF13" s="63">
        <f t="shared" si="0"/>
        <v>0.1013</v>
      </c>
      <c r="BG13" s="63">
        <f>ROUND((BA13+AW13+AS13+AO13+AK13+AG13+AC13+Y13+U13+Q13+M13+I13)/BD13,4)</f>
        <v>0.1</v>
      </c>
      <c r="BH13" s="101">
        <v>0.1</v>
      </c>
      <c r="BI13" s="100" t="s">
        <v>53</v>
      </c>
      <c r="BJ13" s="95">
        <f>BH13-BG13</f>
        <v>0</v>
      </c>
    </row>
    <row r="14" spans="1:66" ht="34.9" customHeight="1" x14ac:dyDescent="0.25">
      <c r="A14" s="49"/>
      <c r="B14" s="48" t="s">
        <v>54</v>
      </c>
      <c r="C14" s="50" t="s">
        <v>55</v>
      </c>
      <c r="D14" s="103" t="s">
        <v>56</v>
      </c>
      <c r="E14" s="109" t="s">
        <v>57</v>
      </c>
      <c r="F14" s="7">
        <f>ROUND(IF($D14="Y",($E14/12)*I14,($E$2/12)*I14),2)</f>
        <v>1145.83</v>
      </c>
      <c r="G14" s="73">
        <f>ROUND(F14/$E$3,4)</f>
        <v>0.05</v>
      </c>
      <c r="H14" s="73">
        <f>ROUND(F14/($E$6/12),4)</f>
        <v>6.1100000000000002E-2</v>
      </c>
      <c r="I14" s="74">
        <v>0.05</v>
      </c>
      <c r="J14" s="7">
        <f>ROUND(IF($D14="Y",($E14/12)*M14,($E$2/12)*M14),2)</f>
        <v>1145.83</v>
      </c>
      <c r="K14" s="73">
        <f>ROUND(J14/$E$3,4)</f>
        <v>0.05</v>
      </c>
      <c r="L14" s="73">
        <f>ROUND(J14/($E$6/12),4)</f>
        <v>6.1100000000000002E-2</v>
      </c>
      <c r="M14" s="74">
        <f>I14</f>
        <v>0.05</v>
      </c>
      <c r="N14" s="7">
        <f>ROUND(IF($D14="Y",($E14/12)*Q14,($E$2/12)*Q14),2)</f>
        <v>1145.83</v>
      </c>
      <c r="O14" s="73">
        <f>ROUND(N14/$E$3,4)</f>
        <v>0.05</v>
      </c>
      <c r="P14" s="73">
        <f>ROUND(N14/($E$6/12),4)</f>
        <v>6.1100000000000002E-2</v>
      </c>
      <c r="Q14" s="74">
        <f>M14</f>
        <v>0.05</v>
      </c>
      <c r="R14" s="7">
        <f>ROUND(IF($D14="Y",($E14/12)*U14,($E$2/12)*U14),2)</f>
        <v>1145.83</v>
      </c>
      <c r="S14" s="73">
        <f>ROUND(R14/$E$3,4)</f>
        <v>0.05</v>
      </c>
      <c r="T14" s="73">
        <f>ROUND(R14/($E$6/12),4)</f>
        <v>6.1100000000000002E-2</v>
      </c>
      <c r="U14" s="74">
        <f>Q14</f>
        <v>0.05</v>
      </c>
      <c r="V14" s="7">
        <f>ROUND(IF($D14="Y",($E14/12)*Y14,($E$2/12)*Y14),2)</f>
        <v>1145.83</v>
      </c>
      <c r="W14" s="73">
        <f>ROUND(V14/$E$3,4)</f>
        <v>0.05</v>
      </c>
      <c r="X14" s="73">
        <f>ROUND(V14/($E$6/12),4)</f>
        <v>6.1100000000000002E-2</v>
      </c>
      <c r="Y14" s="74">
        <f>U14</f>
        <v>0.05</v>
      </c>
      <c r="Z14" s="7">
        <f>ROUND(IF($D14="Y",($E14/12)*AC14,($E$2/12)*AC14),2)</f>
        <v>1145.83</v>
      </c>
      <c r="AA14" s="73">
        <f>ROUND(Z14/$E$3,4)</f>
        <v>0.05</v>
      </c>
      <c r="AB14" s="73">
        <f>ROUND(Z14/($E$6/12),4)</f>
        <v>6.1100000000000002E-2</v>
      </c>
      <c r="AC14" s="74">
        <f>Y14</f>
        <v>0.05</v>
      </c>
      <c r="AD14" s="7">
        <f>ROUND(IF($D14="Y",($E14/12)*AG14,($E$2/12)*AG14),2)</f>
        <v>1145.83</v>
      </c>
      <c r="AE14" s="73">
        <f>ROUND(AD14/$E$3,4)</f>
        <v>0.05</v>
      </c>
      <c r="AF14" s="73">
        <f>ROUND(AD14/($E$6/12),4)</f>
        <v>6.1100000000000002E-2</v>
      </c>
      <c r="AG14" s="74">
        <f>AC14</f>
        <v>0.05</v>
      </c>
      <c r="AH14" s="7">
        <f>ROUND(IF($D14="Y",($E14/12)*AK14,($E$2/12)*AK14),2)</f>
        <v>1145.83</v>
      </c>
      <c r="AI14" s="73">
        <f>ROUND(AH14/$E$3,4)</f>
        <v>0.05</v>
      </c>
      <c r="AJ14" s="73">
        <f>ROUND(AH14/($E$6/12),4)</f>
        <v>6.1100000000000002E-2</v>
      </c>
      <c r="AK14" s="74">
        <f>AG14</f>
        <v>0.05</v>
      </c>
      <c r="AL14" s="7">
        <f>ROUND(IF($D14="Y",($E14/12)*AO14,($E$2/12)*AO14),2)</f>
        <v>1145.83</v>
      </c>
      <c r="AM14" s="73">
        <f>ROUND(AL14/$E$3,4)</f>
        <v>0.05</v>
      </c>
      <c r="AN14" s="73">
        <f>ROUND(AL14/($E$6/12),4)</f>
        <v>6.1100000000000002E-2</v>
      </c>
      <c r="AO14" s="74">
        <f>AK14</f>
        <v>0.05</v>
      </c>
      <c r="AP14" s="7">
        <f>ROUND(IF($D14="Y",($E14/12)*AS14,($E$2/12)*AS14),2)</f>
        <v>1145.83</v>
      </c>
      <c r="AQ14" s="73">
        <f>ROUND(AP14/$E$3,4)</f>
        <v>0.05</v>
      </c>
      <c r="AR14" s="73">
        <f>ROUND(AP14/($E$6/12),4)</f>
        <v>6.1100000000000002E-2</v>
      </c>
      <c r="AS14" s="74">
        <f>AO14</f>
        <v>0.05</v>
      </c>
      <c r="AT14" s="7">
        <f>ROUND(IF($D14="Y",($E14/12)*AW14,($E$2/12)*AW14),2)</f>
        <v>1145.83</v>
      </c>
      <c r="AU14" s="73">
        <f>ROUND(AT14/$E$3,4)</f>
        <v>0.05</v>
      </c>
      <c r="AV14" s="73">
        <f>ROUND(AT14/($E$6/12),4)</f>
        <v>6.1100000000000002E-2</v>
      </c>
      <c r="AW14" s="74">
        <f>AS14</f>
        <v>0.05</v>
      </c>
      <c r="AX14" s="7">
        <f>ROUND(IF($D14="Y",($E14/12)*BA14,($E$2/12)*BA14),2)</f>
        <v>1145.83</v>
      </c>
      <c r="AY14" s="73">
        <f>ROUND(AX14/$E$3,4)</f>
        <v>0.05</v>
      </c>
      <c r="AZ14" s="73">
        <f>ROUND(AX14/($E$6/12),4)</f>
        <v>6.1100000000000002E-2</v>
      </c>
      <c r="BA14" s="74">
        <f>AW14</f>
        <v>0.05</v>
      </c>
      <c r="BB14" s="37">
        <f>AX14+AT14+AP14+AL14+AH14+AD14+Z14+V14+R14+N14+J14+F14</f>
        <v>13749.96</v>
      </c>
      <c r="BC14" s="94">
        <f>BD14</f>
        <v>12</v>
      </c>
      <c r="BD14" s="64">
        <v>12</v>
      </c>
      <c r="BE14" s="63">
        <f t="shared" si="0"/>
        <v>0.05</v>
      </c>
      <c r="BF14" s="63">
        <f t="shared" si="0"/>
        <v>6.1100000000000002E-2</v>
      </c>
      <c r="BG14" s="63">
        <f>ROUND((BA14+AW14+AS14+AO14+AK14+AG14+AC14+Y14+U14+Q14+M14+I14)/BD14,4)</f>
        <v>0.05</v>
      </c>
      <c r="BH14" s="99">
        <v>0.05</v>
      </c>
      <c r="BI14" s="100" t="s">
        <v>58</v>
      </c>
      <c r="BJ14" s="95">
        <f>BH14-BG14</f>
        <v>0</v>
      </c>
      <c r="BN14" s="11"/>
    </row>
    <row r="15" spans="1:66" s="19" customFormat="1" ht="18" customHeight="1" x14ac:dyDescent="0.25">
      <c r="A15" s="21" t="s">
        <v>59</v>
      </c>
      <c r="B15" s="33"/>
      <c r="C15" s="26"/>
      <c r="D15" s="120"/>
      <c r="E15" s="121"/>
      <c r="F15" s="122"/>
      <c r="G15" s="123"/>
      <c r="H15" s="123"/>
      <c r="I15" s="124"/>
      <c r="J15" s="122"/>
      <c r="K15" s="123"/>
      <c r="L15" s="123"/>
      <c r="M15" s="124"/>
      <c r="N15" s="122"/>
      <c r="O15" s="123"/>
      <c r="P15" s="123"/>
      <c r="Q15" s="124"/>
      <c r="R15" s="122"/>
      <c r="S15" s="123"/>
      <c r="T15" s="123"/>
      <c r="U15" s="124"/>
      <c r="V15" s="122"/>
      <c r="W15" s="123"/>
      <c r="X15" s="123"/>
      <c r="Y15" s="124"/>
      <c r="Z15" s="122"/>
      <c r="AA15" s="123"/>
      <c r="AB15" s="123"/>
      <c r="AC15" s="124"/>
      <c r="AD15" s="122"/>
      <c r="AE15" s="123"/>
      <c r="AF15" s="123"/>
      <c r="AG15" s="124"/>
      <c r="AH15" s="122"/>
      <c r="AI15" s="123"/>
      <c r="AJ15" s="123"/>
      <c r="AK15" s="124"/>
      <c r="AL15" s="122"/>
      <c r="AM15" s="123"/>
      <c r="AN15" s="123"/>
      <c r="AO15" s="124"/>
      <c r="AP15" s="122"/>
      <c r="AQ15" s="123"/>
      <c r="AR15" s="123"/>
      <c r="AS15" s="124"/>
      <c r="AT15" s="122"/>
      <c r="AU15" s="123"/>
      <c r="AV15" s="123"/>
      <c r="AW15" s="124"/>
      <c r="AX15" s="122"/>
      <c r="AY15" s="123"/>
      <c r="AZ15" s="123"/>
      <c r="BA15" s="124"/>
      <c r="BB15" s="121"/>
      <c r="BC15" s="122"/>
      <c r="BD15" s="120"/>
      <c r="BE15" s="120"/>
      <c r="BF15" s="120"/>
      <c r="BG15" s="120"/>
      <c r="BH15" s="120"/>
      <c r="BI15" s="120"/>
      <c r="BJ15" s="125"/>
      <c r="BK15" s="126"/>
      <c r="BL15" s="126"/>
      <c r="BM15" s="126"/>
      <c r="BN15" s="126"/>
    </row>
    <row r="16" spans="1:66" s="15" customFormat="1" ht="34.9" customHeight="1" x14ac:dyDescent="0.25">
      <c r="A16" s="127"/>
      <c r="B16" s="48" t="s">
        <v>60</v>
      </c>
      <c r="C16" s="50" t="s">
        <v>61</v>
      </c>
      <c r="D16" s="27" t="s">
        <v>56</v>
      </c>
      <c r="E16" s="38" t="s">
        <v>57</v>
      </c>
      <c r="F16" s="7">
        <f>ROUND(G16*$E$3,2)</f>
        <v>1145.83</v>
      </c>
      <c r="G16" s="73">
        <f>I16</f>
        <v>0.05</v>
      </c>
      <c r="H16" s="73">
        <f>ROUND(F16/($E$6/12),4)</f>
        <v>6.1100000000000002E-2</v>
      </c>
      <c r="I16" s="74">
        <v>0.05</v>
      </c>
      <c r="J16" s="7">
        <f>ROUND(K16*$E$3,2)</f>
        <v>1145.83</v>
      </c>
      <c r="K16" s="73">
        <f>M16</f>
        <v>0.05</v>
      </c>
      <c r="L16" s="73">
        <f>ROUND(J16/($E$6/12),4)</f>
        <v>6.1100000000000002E-2</v>
      </c>
      <c r="M16" s="74">
        <f>I16</f>
        <v>0.05</v>
      </c>
      <c r="N16" s="7">
        <f>ROUND(O16*$E$3,2)</f>
        <v>1145.83</v>
      </c>
      <c r="O16" s="73">
        <f>Q16</f>
        <v>0.05</v>
      </c>
      <c r="P16" s="73">
        <f>ROUND(N16/($E$6/12),4)</f>
        <v>6.1100000000000002E-2</v>
      </c>
      <c r="Q16" s="74">
        <f>M16</f>
        <v>0.05</v>
      </c>
      <c r="R16" s="7">
        <f>ROUND(S16*$E$3,2)</f>
        <v>1145.83</v>
      </c>
      <c r="S16" s="73">
        <f>U16</f>
        <v>0.05</v>
      </c>
      <c r="T16" s="73">
        <f>ROUND(R16/($E$6/12),4)</f>
        <v>6.1100000000000002E-2</v>
      </c>
      <c r="U16" s="74">
        <f>Q16</f>
        <v>0.05</v>
      </c>
      <c r="V16" s="7">
        <f>ROUND(W16*$E$3,2)</f>
        <v>1145.83</v>
      </c>
      <c r="W16" s="73">
        <f>Y16</f>
        <v>0.05</v>
      </c>
      <c r="X16" s="73">
        <f>ROUND(V16/($E$6/12),4)</f>
        <v>6.1100000000000002E-2</v>
      </c>
      <c r="Y16" s="74">
        <f>U16</f>
        <v>0.05</v>
      </c>
      <c r="Z16" s="7">
        <f>ROUND(AA16*$E$3,2)</f>
        <v>1145.83</v>
      </c>
      <c r="AA16" s="73">
        <f>AC16</f>
        <v>0.05</v>
      </c>
      <c r="AB16" s="73">
        <f>ROUND(Z16/($E$6/12),4)</f>
        <v>6.1100000000000002E-2</v>
      </c>
      <c r="AC16" s="74">
        <f>Y16</f>
        <v>0.05</v>
      </c>
      <c r="AD16" s="7">
        <f>ROUND(AE16*$E$3,2)</f>
        <v>1145.83</v>
      </c>
      <c r="AE16" s="73">
        <f>AG16</f>
        <v>0.05</v>
      </c>
      <c r="AF16" s="73">
        <f>ROUND(AD16/($E$6/12),4)</f>
        <v>6.1100000000000002E-2</v>
      </c>
      <c r="AG16" s="74">
        <f>AC16</f>
        <v>0.05</v>
      </c>
      <c r="AH16" s="7">
        <f>ROUND(AI16*$E$3,2)</f>
        <v>1145.83</v>
      </c>
      <c r="AI16" s="73">
        <f>AK16</f>
        <v>0.05</v>
      </c>
      <c r="AJ16" s="73">
        <f>ROUND(AH16/($E$6/12),4)</f>
        <v>6.1100000000000002E-2</v>
      </c>
      <c r="AK16" s="74">
        <f>AG16</f>
        <v>0.05</v>
      </c>
      <c r="AL16" s="7">
        <f>ROUND(AM16*$E$3,2)</f>
        <v>1145.83</v>
      </c>
      <c r="AM16" s="73">
        <f>AO16</f>
        <v>0.05</v>
      </c>
      <c r="AN16" s="73">
        <f>ROUND(AL16/($E$6/12),4)</f>
        <v>6.1100000000000002E-2</v>
      </c>
      <c r="AO16" s="74">
        <f>AK16</f>
        <v>0.05</v>
      </c>
      <c r="AP16" s="7">
        <f>ROUND(AQ16*$E$3,2)</f>
        <v>1145.83</v>
      </c>
      <c r="AQ16" s="73">
        <f>AS16</f>
        <v>0.05</v>
      </c>
      <c r="AR16" s="73">
        <f>ROUND(AP16/($E$6/12),4)</f>
        <v>6.1100000000000002E-2</v>
      </c>
      <c r="AS16" s="74">
        <f>AO16</f>
        <v>0.05</v>
      </c>
      <c r="AT16" s="7">
        <f>ROUND(AU16*$E$3,2)</f>
        <v>1145.83</v>
      </c>
      <c r="AU16" s="73">
        <f>AW16</f>
        <v>0.05</v>
      </c>
      <c r="AV16" s="73">
        <f>ROUND(AT16/($E$6/12),4)</f>
        <v>6.1100000000000002E-2</v>
      </c>
      <c r="AW16" s="74">
        <f>AS16</f>
        <v>0.05</v>
      </c>
      <c r="AX16" s="7">
        <f>ROUND(AY16*$E$3,2)</f>
        <v>1145.83</v>
      </c>
      <c r="AY16" s="73">
        <f>BA16</f>
        <v>0.05</v>
      </c>
      <c r="AZ16" s="73">
        <f>ROUND(AX16/($E$6/12),4)</f>
        <v>6.1100000000000002E-2</v>
      </c>
      <c r="BA16" s="74">
        <f>AW16</f>
        <v>0.05</v>
      </c>
      <c r="BB16" s="37">
        <f>AX16+AT16+AP16+AL16+AH16+AD16+Z16+V16+R16+N16+J16+F16</f>
        <v>13749.96</v>
      </c>
      <c r="BC16" s="94">
        <f>(COUNT(AP16:BA16)+COUNT(AD16:AO16)+COUNT(R16:AC16)+COUNT(F16:Q16))/4</f>
        <v>12</v>
      </c>
      <c r="BD16" s="12"/>
      <c r="BE16" s="13"/>
      <c r="BF16" s="13"/>
      <c r="BG16" s="13"/>
      <c r="BH16" s="14"/>
      <c r="BI16" s="65"/>
      <c r="BJ16" s="96"/>
      <c r="BM16" s="3"/>
    </row>
    <row r="17" spans="1:66" ht="34.9" customHeight="1" x14ac:dyDescent="0.25">
      <c r="A17" s="49"/>
      <c r="B17" s="48" t="s">
        <v>62</v>
      </c>
      <c r="C17" s="50" t="s">
        <v>63</v>
      </c>
      <c r="D17" s="27" t="s">
        <v>56</v>
      </c>
      <c r="E17" s="38" t="s">
        <v>57</v>
      </c>
      <c r="F17" s="7">
        <f>$E$3-(SUM(F11:F16)+SUM(F19:F23))</f>
        <v>2478.119999999999</v>
      </c>
      <c r="G17" s="73">
        <f>ROUND(F17/$E$3,4)</f>
        <v>0.1081</v>
      </c>
      <c r="H17" s="73">
        <f>ROUND(F17/($E$6/12),4)</f>
        <v>0.13220000000000001</v>
      </c>
      <c r="I17" s="75">
        <f>G17</f>
        <v>0.1081</v>
      </c>
      <c r="J17" s="7">
        <f>$E$3-(SUM(J11:J16)+SUM(J19:J23))</f>
        <v>2478.119999999999</v>
      </c>
      <c r="K17" s="73">
        <f>ROUND(J17/$E$3,4)</f>
        <v>0.1081</v>
      </c>
      <c r="L17" s="73">
        <f>ROUND(J17/($E$6/12),4)</f>
        <v>0.13220000000000001</v>
      </c>
      <c r="M17" s="75">
        <f>K17</f>
        <v>0.1081</v>
      </c>
      <c r="N17" s="7">
        <f>$E$3-(SUM(N11:N16)+SUM(N19:N23))</f>
        <v>2478.119999999999</v>
      </c>
      <c r="O17" s="73">
        <f>ROUND(N17/$E$3,4)</f>
        <v>0.1081</v>
      </c>
      <c r="P17" s="73">
        <f>ROUND(N17/($E$6/12),4)</f>
        <v>0.13220000000000001</v>
      </c>
      <c r="Q17" s="75">
        <f>O17</f>
        <v>0.1081</v>
      </c>
      <c r="R17" s="7">
        <f>$E$3-(SUM(R11:R16)+SUM(R19:R23))</f>
        <v>2478.119999999999</v>
      </c>
      <c r="S17" s="73">
        <f>ROUND(R17/$E$3,4)</f>
        <v>0.1081</v>
      </c>
      <c r="T17" s="73">
        <f>ROUND(R17/($E$6/12),4)</f>
        <v>0.13220000000000001</v>
      </c>
      <c r="U17" s="75">
        <f>S17</f>
        <v>0.1081</v>
      </c>
      <c r="V17" s="7">
        <f>$E$3-(SUM(V11:V16)+SUM(V19:V23))</f>
        <v>2478.119999999999</v>
      </c>
      <c r="W17" s="73">
        <f>ROUND(V17/$E$3,4)</f>
        <v>0.1081</v>
      </c>
      <c r="X17" s="73">
        <f>ROUND(V17/($E$6/12),4)</f>
        <v>0.13220000000000001</v>
      </c>
      <c r="Y17" s="75">
        <f>W17</f>
        <v>0.1081</v>
      </c>
      <c r="Z17" s="7">
        <f>$E$3-(SUM(Z11:Z16)+SUM(Z19:Z23))</f>
        <v>2478.119999999999</v>
      </c>
      <c r="AA17" s="73">
        <f>ROUND(Z17/$E$3,4)</f>
        <v>0.1081</v>
      </c>
      <c r="AB17" s="73">
        <f>ROUND(Z17/($E$6/12),4)</f>
        <v>0.13220000000000001</v>
      </c>
      <c r="AC17" s="75">
        <f>AA17</f>
        <v>0.1081</v>
      </c>
      <c r="AD17" s="7">
        <f>$E$3-(SUM(AD11:AD16)+SUM(AD19:AD23))</f>
        <v>2478.119999999999</v>
      </c>
      <c r="AE17" s="73">
        <f>ROUND(AD17/$E$3,4)</f>
        <v>0.1081</v>
      </c>
      <c r="AF17" s="73">
        <f>ROUND(AD17/($E$6/12),4)</f>
        <v>0.13220000000000001</v>
      </c>
      <c r="AG17" s="75">
        <f>AE17</f>
        <v>0.1081</v>
      </c>
      <c r="AH17" s="7">
        <f>$E$3-(SUM(AH11:AH16)+SUM(AH19:AH23))</f>
        <v>2478.119999999999</v>
      </c>
      <c r="AI17" s="73">
        <f>ROUND(AH17/$E$3,4)</f>
        <v>0.1081</v>
      </c>
      <c r="AJ17" s="73">
        <f>ROUND(AH17/($E$6/12),4)</f>
        <v>0.13220000000000001</v>
      </c>
      <c r="AK17" s="75">
        <f>AI17</f>
        <v>0.1081</v>
      </c>
      <c r="AL17" s="7">
        <f>$E$3-(SUM(AL11:AL16)+SUM(AL19:AL23))</f>
        <v>2478.119999999999</v>
      </c>
      <c r="AM17" s="73">
        <f>ROUND(AL17/$E$3,4)</f>
        <v>0.1081</v>
      </c>
      <c r="AN17" s="73">
        <f>ROUND(AL17/($E$6/12),4)</f>
        <v>0.13220000000000001</v>
      </c>
      <c r="AO17" s="75">
        <f>AM17</f>
        <v>0.1081</v>
      </c>
      <c r="AP17" s="7">
        <f>$E$3-(SUM(AP11:AP16)+SUM(AP19:AP23))</f>
        <v>2478.119999999999</v>
      </c>
      <c r="AQ17" s="73">
        <f>ROUND(AP17/$E$3,4)</f>
        <v>0.1081</v>
      </c>
      <c r="AR17" s="73">
        <f>ROUND(AP17/($E$6/12),4)</f>
        <v>0.13220000000000001</v>
      </c>
      <c r="AS17" s="75">
        <f>AQ17</f>
        <v>0.1081</v>
      </c>
      <c r="AT17" s="7">
        <f>$E$3-(SUM(AT11:AT16)+SUM(AT19:AT23))</f>
        <v>2478.119999999999</v>
      </c>
      <c r="AU17" s="73">
        <f>ROUND(AT17/$E$3,4)</f>
        <v>0.1081</v>
      </c>
      <c r="AV17" s="73">
        <f>ROUND(AT17/($E$6/12),4)</f>
        <v>0.13220000000000001</v>
      </c>
      <c r="AW17" s="75">
        <f>AU17</f>
        <v>0.1081</v>
      </c>
      <c r="AX17" s="7">
        <f>$E$3-(SUM(AX11:AX16)+SUM(AX19:AX23))</f>
        <v>2478.119999999999</v>
      </c>
      <c r="AY17" s="73">
        <f>ROUND(AX17/$E$3,4)</f>
        <v>0.1081</v>
      </c>
      <c r="AZ17" s="73">
        <f>ROUND(AX17/($E$6/12),4)</f>
        <v>0.13220000000000001</v>
      </c>
      <c r="BA17" s="75">
        <f>AY17</f>
        <v>0.1081</v>
      </c>
      <c r="BB17" s="37">
        <f>AX17+AT17+AP17+AL17+AH17+AD17+Z17+V17+R17+N17+J17+F17</f>
        <v>29737.439999999988</v>
      </c>
      <c r="BC17" s="94">
        <f>(COUNT(AP17:BA17)+COUNT(AD17:AO17)+COUNT(R17:AC17)+COUNT(F17:Q17))/4</f>
        <v>12</v>
      </c>
      <c r="BD17" s="9"/>
      <c r="BE17" s="10"/>
      <c r="BF17" s="10"/>
      <c r="BG17" s="10"/>
      <c r="BH17" s="10"/>
      <c r="BI17" s="66"/>
      <c r="BJ17" s="95"/>
      <c r="BN17" s="11"/>
    </row>
    <row r="18" spans="1:66" s="19" customFormat="1" ht="18" customHeight="1" x14ac:dyDescent="0.25">
      <c r="A18" s="21" t="s">
        <v>64</v>
      </c>
      <c r="B18" s="33"/>
      <c r="C18" s="26"/>
      <c r="D18" s="120"/>
      <c r="E18" s="121"/>
      <c r="F18" s="128"/>
      <c r="G18" s="123"/>
      <c r="H18" s="123"/>
      <c r="I18" s="124"/>
      <c r="J18" s="128"/>
      <c r="K18" s="123"/>
      <c r="L18" s="123"/>
      <c r="M18" s="124"/>
      <c r="N18" s="128"/>
      <c r="O18" s="123"/>
      <c r="P18" s="123"/>
      <c r="Q18" s="124"/>
      <c r="R18" s="128"/>
      <c r="S18" s="123"/>
      <c r="T18" s="123"/>
      <c r="U18" s="124"/>
      <c r="V18" s="128"/>
      <c r="W18" s="123"/>
      <c r="X18" s="123"/>
      <c r="Y18" s="124"/>
      <c r="Z18" s="128"/>
      <c r="AA18" s="123"/>
      <c r="AB18" s="123"/>
      <c r="AC18" s="124"/>
      <c r="AD18" s="128"/>
      <c r="AE18" s="123"/>
      <c r="AF18" s="123"/>
      <c r="AG18" s="124"/>
      <c r="AH18" s="128"/>
      <c r="AI18" s="123"/>
      <c r="AJ18" s="123"/>
      <c r="AK18" s="124"/>
      <c r="AL18" s="128"/>
      <c r="AM18" s="123"/>
      <c r="AN18" s="123"/>
      <c r="AO18" s="124"/>
      <c r="AP18" s="128"/>
      <c r="AQ18" s="123"/>
      <c r="AR18" s="123"/>
      <c r="AS18" s="124"/>
      <c r="AT18" s="128"/>
      <c r="AU18" s="123"/>
      <c r="AV18" s="123"/>
      <c r="AW18" s="124"/>
      <c r="AX18" s="128"/>
      <c r="AY18" s="123"/>
      <c r="AZ18" s="123"/>
      <c r="BA18" s="124"/>
      <c r="BB18" s="121"/>
      <c r="BC18" s="122"/>
      <c r="BD18" s="120"/>
      <c r="BE18" s="120"/>
      <c r="BF18" s="120"/>
      <c r="BG18" s="120"/>
      <c r="BH18" s="120"/>
      <c r="BI18" s="120"/>
      <c r="BJ18" s="125"/>
      <c r="BK18" s="126"/>
      <c r="BL18" s="126"/>
      <c r="BM18" s="126"/>
      <c r="BN18" s="126"/>
    </row>
    <row r="19" spans="1:66" ht="34.9" customHeight="1" x14ac:dyDescent="0.25">
      <c r="A19" s="49"/>
      <c r="B19" s="48" t="s">
        <v>65</v>
      </c>
      <c r="C19" s="50" t="s">
        <v>66</v>
      </c>
      <c r="D19" s="27" t="s">
        <v>56</v>
      </c>
      <c r="E19" s="38" t="s">
        <v>57</v>
      </c>
      <c r="F19" s="7">
        <f>ROUND((I11-G11)*($E$2/12),2)</f>
        <v>822.71</v>
      </c>
      <c r="G19" s="73">
        <f>ROUND(F19/$E$3,4)</f>
        <v>3.5900000000000001E-2</v>
      </c>
      <c r="H19" s="73">
        <f>ROUND(F19/($E$6/12),4)</f>
        <v>4.3900000000000002E-2</v>
      </c>
      <c r="I19" s="28" t="b">
        <f>IF(G19+G11=I11,TRUE)</f>
        <v>1</v>
      </c>
      <c r="J19" s="7">
        <f>ROUND((M11-K11)*($E$2/12),2)</f>
        <v>822.71</v>
      </c>
      <c r="K19" s="73">
        <f>ROUND(J19/$E$3,4)</f>
        <v>3.5900000000000001E-2</v>
      </c>
      <c r="L19" s="73">
        <f>ROUND(J19/($E$6/12),4)</f>
        <v>4.3900000000000002E-2</v>
      </c>
      <c r="M19" s="28" t="b">
        <f>IF(K19+K11=M11,TRUE)</f>
        <v>1</v>
      </c>
      <c r="N19" s="7">
        <f>ROUND((Q11-O11)*($E$2/12),2)</f>
        <v>822.71</v>
      </c>
      <c r="O19" s="73">
        <f>ROUND(N19/$E$3,4)</f>
        <v>3.5900000000000001E-2</v>
      </c>
      <c r="P19" s="73">
        <f>ROUND(N19/($E$6/12),4)</f>
        <v>4.3900000000000002E-2</v>
      </c>
      <c r="Q19" s="28" t="b">
        <f>IF(O19+O11=Q11,TRUE)</f>
        <v>1</v>
      </c>
      <c r="R19" s="7">
        <f>ROUND((U11-S11)*($E$2/12),2)</f>
        <v>822.71</v>
      </c>
      <c r="S19" s="73">
        <f>ROUND(R19/$E$3,4)</f>
        <v>3.5900000000000001E-2</v>
      </c>
      <c r="T19" s="73">
        <f>ROUND(R19/($E$6/12),4)</f>
        <v>4.3900000000000002E-2</v>
      </c>
      <c r="U19" s="28" t="b">
        <f>IF(S19+S11=U11,TRUE)</f>
        <v>1</v>
      </c>
      <c r="V19" s="7">
        <f>ROUND((Y11-W11)*($E$2/12),2)</f>
        <v>822.71</v>
      </c>
      <c r="W19" s="73">
        <f>ROUND(V19/$E$3,4)</f>
        <v>3.5900000000000001E-2</v>
      </c>
      <c r="X19" s="73">
        <f>ROUND(V19/($E$6/12),4)</f>
        <v>4.3900000000000002E-2</v>
      </c>
      <c r="Y19" s="28" t="b">
        <f>IF(W19+W11=Y11,TRUE)</f>
        <v>1</v>
      </c>
      <c r="Z19" s="7">
        <f>ROUND((AC11-AA11)*($E$2/12),2)</f>
        <v>822.71</v>
      </c>
      <c r="AA19" s="73">
        <f>ROUND(Z19/$E$3,4)</f>
        <v>3.5900000000000001E-2</v>
      </c>
      <c r="AB19" s="73">
        <f>ROUND(Z19/($E$6/12),4)</f>
        <v>4.3900000000000002E-2</v>
      </c>
      <c r="AC19" s="28" t="b">
        <f>IF(AA19+AA11=AC11,TRUE)</f>
        <v>1</v>
      </c>
      <c r="AD19" s="7">
        <f>ROUND((AG11-AE11)*($E$2/12),2)</f>
        <v>822.71</v>
      </c>
      <c r="AE19" s="73">
        <f>ROUND(AD19/$E$3,4)</f>
        <v>3.5900000000000001E-2</v>
      </c>
      <c r="AF19" s="73">
        <f>ROUND(AD19/($E$6/12),4)</f>
        <v>4.3900000000000002E-2</v>
      </c>
      <c r="AG19" s="28" t="b">
        <f>IF(AE19+AE11=AG11,TRUE)</f>
        <v>1</v>
      </c>
      <c r="AH19" s="7">
        <f>ROUND((AK11-AI11)*($E$2/12),2)</f>
        <v>822.71</v>
      </c>
      <c r="AI19" s="73">
        <f>ROUND(AH19/$E$3,4)</f>
        <v>3.5900000000000001E-2</v>
      </c>
      <c r="AJ19" s="73">
        <f>ROUND(AH19/($E$6/12),4)</f>
        <v>4.3900000000000002E-2</v>
      </c>
      <c r="AK19" s="28" t="b">
        <f>IF(AI19+AI11=AK11,TRUE)</f>
        <v>1</v>
      </c>
      <c r="AL19" s="7">
        <f>ROUND((AO11-AM11)*($E$2/12),2)</f>
        <v>822.71</v>
      </c>
      <c r="AM19" s="73">
        <f>ROUND(AL19/$E$3,4)</f>
        <v>3.5900000000000001E-2</v>
      </c>
      <c r="AN19" s="73">
        <f>ROUND(AL19/($E$6/12),4)</f>
        <v>4.3900000000000002E-2</v>
      </c>
      <c r="AO19" s="28" t="b">
        <f>IF(AM19+AM11=AO11,TRUE)</f>
        <v>1</v>
      </c>
      <c r="AP19" s="7">
        <f>ROUND((AS11-AQ11)*($E$2/12),2)</f>
        <v>822.71</v>
      </c>
      <c r="AQ19" s="73">
        <f>ROUND(AP19/$E$3,4)</f>
        <v>3.5900000000000001E-2</v>
      </c>
      <c r="AR19" s="73">
        <f>ROUND(AP19/($E$6/12),4)</f>
        <v>4.3900000000000002E-2</v>
      </c>
      <c r="AS19" s="28" t="b">
        <f>IF(AQ19+AQ11=AS11,TRUE)</f>
        <v>1</v>
      </c>
      <c r="AT19" s="7">
        <f>ROUND((AW11-AU11)*($E$2/12),2)</f>
        <v>822.71</v>
      </c>
      <c r="AU19" s="73">
        <f>ROUND(AT19/$E$3,4)</f>
        <v>3.5900000000000001E-2</v>
      </c>
      <c r="AV19" s="73">
        <f>ROUND(AT19/($E$6/12),4)</f>
        <v>4.3900000000000002E-2</v>
      </c>
      <c r="AW19" s="28" t="b">
        <f>IF(AU19+AU11=AW11,TRUE)</f>
        <v>1</v>
      </c>
      <c r="AX19" s="7">
        <f>ROUND((BA11-AY11)*($E$2/12),2)</f>
        <v>822.71</v>
      </c>
      <c r="AY19" s="73">
        <f>ROUND(AX19/$E$3,4)</f>
        <v>3.5900000000000001E-2</v>
      </c>
      <c r="AZ19" s="73">
        <f>ROUND(AX19/($E$6/12),4)</f>
        <v>4.3900000000000002E-2</v>
      </c>
      <c r="BA19" s="28" t="b">
        <f>IF(AY19+AY11=BA11,TRUE)</f>
        <v>1</v>
      </c>
      <c r="BB19" s="37">
        <f>AX19+AT19+AP19+AL19+AH19+AD19+Z19+V19+R19+N19+J19+F19</f>
        <v>9872.52</v>
      </c>
      <c r="BC19" s="94">
        <f>(COUNT(AP19:BA19)+COUNT(AD19:AO19)+COUNT(R19:AC19)+COUNT(F19:Q19))/3</f>
        <v>12</v>
      </c>
      <c r="BD19" s="111">
        <f>BD11</f>
        <v>12</v>
      </c>
      <c r="BE19" s="63">
        <f>ROUND((AY19+AU19+AQ19+AM19+AI19+G19+K19+O19+S19+W19+AA19+AE19)/$BD19,4)</f>
        <v>3.5900000000000001E-2</v>
      </c>
      <c r="BF19" s="63" t="b">
        <f>IF(BE19+BE11=BG11,TRUE)</f>
        <v>1</v>
      </c>
      <c r="BG19" s="8"/>
      <c r="BH19" s="8"/>
      <c r="BI19" s="67"/>
      <c r="BJ19" s="17"/>
    </row>
    <row r="20" spans="1:66" ht="34.9" customHeight="1" x14ac:dyDescent="0.25">
      <c r="A20" s="49"/>
      <c r="B20" s="48" t="s">
        <v>67</v>
      </c>
      <c r="C20" s="50" t="s">
        <v>68</v>
      </c>
      <c r="D20" s="27" t="s">
        <v>56</v>
      </c>
      <c r="E20" s="38" t="s">
        <v>57</v>
      </c>
      <c r="F20" s="7">
        <f>ROUND((I12-G12)*($E$2/12),2)</f>
        <v>1175.6300000000001</v>
      </c>
      <c r="G20" s="73">
        <f>ROUND(F20/$E$3,4)</f>
        <v>5.1299999999999998E-2</v>
      </c>
      <c r="H20" s="73">
        <f>ROUND(F20/($E$6/12),4)</f>
        <v>6.2700000000000006E-2</v>
      </c>
      <c r="I20" s="28" t="b">
        <f>IF(G20+G12=I12,TRUE)</f>
        <v>1</v>
      </c>
      <c r="J20" s="7">
        <f>ROUND((M12-K12)*($E$2/12),2)</f>
        <v>1175.6300000000001</v>
      </c>
      <c r="K20" s="73">
        <f>ROUND(J20/$E$3,4)</f>
        <v>5.1299999999999998E-2</v>
      </c>
      <c r="L20" s="73">
        <f>ROUND(J20/($E$6/12),4)</f>
        <v>6.2700000000000006E-2</v>
      </c>
      <c r="M20" s="28" t="b">
        <f>IF(K20+K12=M12,TRUE)</f>
        <v>1</v>
      </c>
      <c r="N20" s="7">
        <f>ROUND((Q12-O12)*($E$2/12),2)</f>
        <v>1175.6300000000001</v>
      </c>
      <c r="O20" s="73">
        <f>ROUND(N20/$E$3,4)</f>
        <v>5.1299999999999998E-2</v>
      </c>
      <c r="P20" s="73">
        <f>ROUND(N20/($E$6/12),4)</f>
        <v>6.2700000000000006E-2</v>
      </c>
      <c r="Q20" s="28" t="b">
        <f>IF(O20+O12=Q12,TRUE)</f>
        <v>1</v>
      </c>
      <c r="R20" s="7">
        <f>ROUND((U12-S12)*($E$2/12),2)</f>
        <v>1175.6300000000001</v>
      </c>
      <c r="S20" s="73">
        <f>ROUND(R20/$E$3,4)</f>
        <v>5.1299999999999998E-2</v>
      </c>
      <c r="T20" s="73">
        <f>ROUND(R20/($E$6/12),4)</f>
        <v>6.2700000000000006E-2</v>
      </c>
      <c r="U20" s="28" t="b">
        <f>IF(S20+S12=U12,TRUE)</f>
        <v>1</v>
      </c>
      <c r="V20" s="7">
        <f>ROUND((Y12-W12)*($E$2/12),2)</f>
        <v>1175.6300000000001</v>
      </c>
      <c r="W20" s="73">
        <f>ROUND(V20/$E$3,4)</f>
        <v>5.1299999999999998E-2</v>
      </c>
      <c r="X20" s="73">
        <f>ROUND(V20/($E$6/12),4)</f>
        <v>6.2700000000000006E-2</v>
      </c>
      <c r="Y20" s="28" t="b">
        <f>IF(W20+W12=Y12,TRUE)</f>
        <v>1</v>
      </c>
      <c r="Z20" s="7">
        <f>ROUND((AC12-AA12)*($E$2/12),2)</f>
        <v>1175.6300000000001</v>
      </c>
      <c r="AA20" s="73">
        <f>ROUND(Z20/$E$3,4)</f>
        <v>5.1299999999999998E-2</v>
      </c>
      <c r="AB20" s="73">
        <f>ROUND(Z20/($E$6/12),4)</f>
        <v>6.2700000000000006E-2</v>
      </c>
      <c r="AC20" s="28" t="b">
        <f>IF(AA20+AA12=AC12,TRUE)</f>
        <v>1</v>
      </c>
      <c r="AD20" s="7">
        <f>ROUND((AG12-AE12)*($E$2/12),2)</f>
        <v>1175.6300000000001</v>
      </c>
      <c r="AE20" s="73">
        <f>ROUND(AD20/$E$3,4)</f>
        <v>5.1299999999999998E-2</v>
      </c>
      <c r="AF20" s="73">
        <f>ROUND(AD20/($E$6/12),4)</f>
        <v>6.2700000000000006E-2</v>
      </c>
      <c r="AG20" s="28" t="b">
        <f>IF(AE20+AE12=AG12,TRUE)</f>
        <v>1</v>
      </c>
      <c r="AH20" s="7">
        <f>ROUND((AK12-AI12)*($E$2/12),2)</f>
        <v>1175.6300000000001</v>
      </c>
      <c r="AI20" s="73">
        <f>ROUND(AH20/$E$3,4)</f>
        <v>5.1299999999999998E-2</v>
      </c>
      <c r="AJ20" s="73">
        <f>ROUND(AH20/($E$6/12),4)</f>
        <v>6.2700000000000006E-2</v>
      </c>
      <c r="AK20" s="28" t="b">
        <f>IF(AI20+AI12=AK12,TRUE)</f>
        <v>1</v>
      </c>
      <c r="AL20" s="7">
        <f>ROUND((AO12-AM12)*($E$2/12),2)</f>
        <v>1175.6300000000001</v>
      </c>
      <c r="AM20" s="73">
        <f>ROUND(AL20/$E$3,4)</f>
        <v>5.1299999999999998E-2</v>
      </c>
      <c r="AN20" s="73">
        <f>ROUND(AL20/($E$6/12),4)</f>
        <v>6.2700000000000006E-2</v>
      </c>
      <c r="AO20" s="28" t="b">
        <f>IF(AM20+AM12=AO12,TRUE)</f>
        <v>1</v>
      </c>
      <c r="AP20" s="7">
        <f>ROUND((AS12-AQ12)*($E$2/12),2)</f>
        <v>1175.6300000000001</v>
      </c>
      <c r="AQ20" s="73">
        <f>ROUND(AP20/$E$3,4)</f>
        <v>5.1299999999999998E-2</v>
      </c>
      <c r="AR20" s="73">
        <f>ROUND(AP20/($E$6/12),4)</f>
        <v>6.2700000000000006E-2</v>
      </c>
      <c r="AS20" s="28" t="b">
        <f>IF(AQ20+AQ12=AS12,TRUE)</f>
        <v>1</v>
      </c>
      <c r="AT20" s="7">
        <f>ROUND((AW12-AU12)*($E$2/12),2)</f>
        <v>1175.6300000000001</v>
      </c>
      <c r="AU20" s="73">
        <f>ROUND(AT20/$E$3,4)</f>
        <v>5.1299999999999998E-2</v>
      </c>
      <c r="AV20" s="73">
        <f>ROUND(AT20/($E$6/12),4)</f>
        <v>6.2700000000000006E-2</v>
      </c>
      <c r="AW20" s="28" t="b">
        <f>IF(AU20+AU12=AW12,TRUE)</f>
        <v>1</v>
      </c>
      <c r="AX20" s="7">
        <f>ROUND((BA12-AY12)*($E$2/12),2)</f>
        <v>1175.6300000000001</v>
      </c>
      <c r="AY20" s="73">
        <f>ROUND(AX20/$E$3,4)</f>
        <v>5.1299999999999998E-2</v>
      </c>
      <c r="AZ20" s="73">
        <f>ROUND(AX20/($E$6/12),4)</f>
        <v>6.2700000000000006E-2</v>
      </c>
      <c r="BA20" s="28" t="b">
        <f>IF(AY20+AY12=BA12,TRUE)</f>
        <v>1</v>
      </c>
      <c r="BB20" s="37">
        <f>AX20+AT20+AP20+AL20+AH20+AD20+Z20+V20+R20+N20+J20+F20</f>
        <v>14107.560000000005</v>
      </c>
      <c r="BC20" s="94">
        <f>(COUNT(AP20:BA20)+COUNT(AD20:AO20)+COUNT(R20:AC20)+COUNT(F20:Q20))/3</f>
        <v>12</v>
      </c>
      <c r="BD20" s="111">
        <f>BD12</f>
        <v>12</v>
      </c>
      <c r="BE20" s="63">
        <f>ROUND((AY20+AU20+AQ20+AM20+AI20+G20+K20+O20+S20+W20+AA20+AE20)/$BD20,4)</f>
        <v>5.1299999999999998E-2</v>
      </c>
      <c r="BF20" s="63" t="b">
        <f>IF(BE20+BE12=BG12,TRUE)</f>
        <v>1</v>
      </c>
      <c r="BG20" s="8"/>
      <c r="BH20" s="8"/>
      <c r="BI20" s="67"/>
      <c r="BJ20" s="17"/>
    </row>
    <row r="21" spans="1:66" ht="34.9" customHeight="1" x14ac:dyDescent="0.25">
      <c r="A21" s="49"/>
      <c r="B21" s="48" t="s">
        <v>69</v>
      </c>
      <c r="C21" s="50" t="s">
        <v>70</v>
      </c>
      <c r="D21" s="27" t="s">
        <v>56</v>
      </c>
      <c r="E21" s="38" t="s">
        <v>57</v>
      </c>
      <c r="F21" s="7">
        <f>ROUND((I13-G13)*($E$2/12),2)</f>
        <v>391.88</v>
      </c>
      <c r="G21" s="73">
        <f>ROUND(F21/$E$3,4)</f>
        <v>1.7100000000000001E-2</v>
      </c>
      <c r="H21" s="73">
        <f>ROUND(F21/($E$6/12),4)</f>
        <v>2.0899999999999998E-2</v>
      </c>
      <c r="I21" s="28" t="b">
        <f>IF(G21+G13=I13,TRUE)</f>
        <v>1</v>
      </c>
      <c r="J21" s="7">
        <f>ROUND((M13-K13)*($E$2/12),2)</f>
        <v>391.88</v>
      </c>
      <c r="K21" s="73">
        <f>ROUND(J21/$E$3,4)</f>
        <v>1.7100000000000001E-2</v>
      </c>
      <c r="L21" s="73">
        <f>ROUND(J21/($E$6/12),4)</f>
        <v>2.0899999999999998E-2</v>
      </c>
      <c r="M21" s="28" t="b">
        <f>IF(K21+K13=M13,TRUE)</f>
        <v>1</v>
      </c>
      <c r="N21" s="7">
        <f>ROUND((Q13-O13)*($E$2/12),2)</f>
        <v>391.88</v>
      </c>
      <c r="O21" s="73">
        <f>ROUND(N21/$E$3,4)</f>
        <v>1.7100000000000001E-2</v>
      </c>
      <c r="P21" s="73">
        <f>ROUND(N21/($E$6/12),4)</f>
        <v>2.0899999999999998E-2</v>
      </c>
      <c r="Q21" s="28" t="b">
        <f>IF(O21+O13=Q13,TRUE)</f>
        <v>1</v>
      </c>
      <c r="R21" s="7">
        <f>ROUND((U13-S13)*($E$2/12),2)</f>
        <v>391.88</v>
      </c>
      <c r="S21" s="73">
        <f>ROUND(R21/$E$3,4)</f>
        <v>1.7100000000000001E-2</v>
      </c>
      <c r="T21" s="73">
        <f>ROUND(R21/($E$6/12),4)</f>
        <v>2.0899999999999998E-2</v>
      </c>
      <c r="U21" s="28" t="b">
        <f>IF(S21+S13=U13,TRUE)</f>
        <v>1</v>
      </c>
      <c r="V21" s="7">
        <f>ROUND((Y13-W13)*($E$2/12),2)</f>
        <v>391.88</v>
      </c>
      <c r="W21" s="73">
        <f>ROUND(V21/$E$3,4)</f>
        <v>1.7100000000000001E-2</v>
      </c>
      <c r="X21" s="73">
        <f>ROUND(V21/($E$6/12),4)</f>
        <v>2.0899999999999998E-2</v>
      </c>
      <c r="Y21" s="28" t="b">
        <f>IF(W21+W13=Y13,TRUE)</f>
        <v>1</v>
      </c>
      <c r="Z21" s="7">
        <f>ROUND((AC13-AA13)*($E$2/12),2)</f>
        <v>391.88</v>
      </c>
      <c r="AA21" s="73">
        <f>ROUND(Z21/$E$3,4)</f>
        <v>1.7100000000000001E-2</v>
      </c>
      <c r="AB21" s="73">
        <f>ROUND(Z21/($E$6/12),4)</f>
        <v>2.0899999999999998E-2</v>
      </c>
      <c r="AC21" s="28" t="b">
        <f>IF(AA21+AA13=AC13,TRUE)</f>
        <v>1</v>
      </c>
      <c r="AD21" s="7">
        <f>ROUND((AG13-AE13)*($E$2/12),2)</f>
        <v>391.88</v>
      </c>
      <c r="AE21" s="73">
        <f>ROUND(AD21/$E$3,4)</f>
        <v>1.7100000000000001E-2</v>
      </c>
      <c r="AF21" s="73">
        <f>ROUND(AD21/($E$6/12),4)</f>
        <v>2.0899999999999998E-2</v>
      </c>
      <c r="AG21" s="28" t="b">
        <f>IF(AE21+AE13=AG13,TRUE)</f>
        <v>1</v>
      </c>
      <c r="AH21" s="7">
        <f>ROUND((AK13-AI13)*($E$2/12),2)</f>
        <v>391.88</v>
      </c>
      <c r="AI21" s="73">
        <f>ROUND(AH21/$E$3,4)</f>
        <v>1.7100000000000001E-2</v>
      </c>
      <c r="AJ21" s="73">
        <f>ROUND(AH21/($E$6/12),4)</f>
        <v>2.0899999999999998E-2</v>
      </c>
      <c r="AK21" s="28" t="b">
        <f>IF(AI21+AI13=AK13,TRUE)</f>
        <v>1</v>
      </c>
      <c r="AL21" s="7">
        <f>ROUND((AO13-AM13)*($E$2/12),2)</f>
        <v>391.88</v>
      </c>
      <c r="AM21" s="73">
        <f>ROUND(AL21/$E$3,4)</f>
        <v>1.7100000000000001E-2</v>
      </c>
      <c r="AN21" s="73">
        <f>ROUND(AL21/($E$6/12),4)</f>
        <v>2.0899999999999998E-2</v>
      </c>
      <c r="AO21" s="28" t="b">
        <f>IF(AM21+AM13=AO13,TRUE)</f>
        <v>1</v>
      </c>
      <c r="AP21" s="7">
        <f>ROUND((AS13-AQ13)*($E$2/12),2)</f>
        <v>391.88</v>
      </c>
      <c r="AQ21" s="73">
        <f>ROUND(AP21/$E$3,4)</f>
        <v>1.7100000000000001E-2</v>
      </c>
      <c r="AR21" s="73">
        <f>ROUND(AP21/($E$6/12),4)</f>
        <v>2.0899999999999998E-2</v>
      </c>
      <c r="AS21" s="28" t="b">
        <f>IF(AQ21+AQ13=AS13,TRUE)</f>
        <v>1</v>
      </c>
      <c r="AT21" s="7">
        <f>ROUND((AW13-AU13)*($E$2/12),2)</f>
        <v>391.88</v>
      </c>
      <c r="AU21" s="73">
        <f>ROUND(AT21/$E$3,4)</f>
        <v>1.7100000000000001E-2</v>
      </c>
      <c r="AV21" s="73">
        <f>ROUND(AT21/($E$6/12),4)</f>
        <v>2.0899999999999998E-2</v>
      </c>
      <c r="AW21" s="28" t="b">
        <f>IF(AU21+AU13=AW13,TRUE)</f>
        <v>1</v>
      </c>
      <c r="AX21" s="7">
        <f>ROUND((BA13-AY13)*($E$2/12),2)</f>
        <v>391.88</v>
      </c>
      <c r="AY21" s="73">
        <f>ROUND(AX21/$E$3,4)</f>
        <v>1.7100000000000001E-2</v>
      </c>
      <c r="AZ21" s="73">
        <f>ROUND(AX21/($E$6/12),4)</f>
        <v>2.0899999999999998E-2</v>
      </c>
      <c r="BA21" s="28" t="b">
        <f>IF(AY21+AY13=BA13,TRUE)</f>
        <v>1</v>
      </c>
      <c r="BB21" s="37">
        <f>AX21+AT21+AP21+AL21+AH21+AD21+Z21+V21+R21+N21+J21+F21</f>
        <v>4702.5600000000004</v>
      </c>
      <c r="BC21" s="94">
        <f>(COUNT(AP21:BA21)+COUNT(AD21:AO21)+COUNT(R21:AC21)+COUNT(F21:Q21))/3</f>
        <v>12</v>
      </c>
      <c r="BD21" s="111">
        <f>BD13</f>
        <v>12</v>
      </c>
      <c r="BE21" s="63">
        <f>ROUND((AY21+AU21+AQ21+AM21+AI21+G21+K21+O21+S21+W21+AA21+AE21)/$BD21,4)</f>
        <v>1.7100000000000001E-2</v>
      </c>
      <c r="BF21" s="63" t="b">
        <f>IF(BE21+BE13=BG13,TRUE)</f>
        <v>1</v>
      </c>
      <c r="BG21" s="8"/>
      <c r="BH21" s="8"/>
      <c r="BI21" s="67"/>
      <c r="BJ21" s="17"/>
    </row>
    <row r="22" spans="1:66" s="19" customFormat="1" ht="18" customHeight="1" x14ac:dyDescent="0.25">
      <c r="A22" s="21" t="s">
        <v>71</v>
      </c>
      <c r="B22" s="33"/>
      <c r="C22" s="26"/>
      <c r="D22" s="120"/>
      <c r="E22" s="121"/>
      <c r="F22" s="122"/>
      <c r="G22" s="129"/>
      <c r="H22" s="129"/>
      <c r="I22" s="124"/>
      <c r="J22" s="122"/>
      <c r="K22" s="129"/>
      <c r="L22" s="129"/>
      <c r="M22" s="124"/>
      <c r="N22" s="122"/>
      <c r="O22" s="129"/>
      <c r="P22" s="129"/>
      <c r="Q22" s="124"/>
      <c r="R22" s="122"/>
      <c r="S22" s="129"/>
      <c r="T22" s="129"/>
      <c r="U22" s="124"/>
      <c r="V22" s="122"/>
      <c r="W22" s="129"/>
      <c r="X22" s="129"/>
      <c r="Y22" s="124"/>
      <c r="Z22" s="122"/>
      <c r="AA22" s="129"/>
      <c r="AB22" s="129"/>
      <c r="AC22" s="124"/>
      <c r="AD22" s="122"/>
      <c r="AE22" s="129"/>
      <c r="AF22" s="129"/>
      <c r="AG22" s="124"/>
      <c r="AH22" s="122"/>
      <c r="AI22" s="129"/>
      <c r="AJ22" s="129"/>
      <c r="AK22" s="124"/>
      <c r="AL22" s="122"/>
      <c r="AM22" s="129"/>
      <c r="AN22" s="129"/>
      <c r="AO22" s="124"/>
      <c r="AP22" s="122"/>
      <c r="AQ22" s="129"/>
      <c r="AR22" s="129"/>
      <c r="AS22" s="124"/>
      <c r="AT22" s="122"/>
      <c r="AU22" s="129"/>
      <c r="AV22" s="129"/>
      <c r="AW22" s="124"/>
      <c r="AX22" s="122"/>
      <c r="AY22" s="129"/>
      <c r="AZ22" s="129"/>
      <c r="BA22" s="124"/>
      <c r="BB22" s="121"/>
      <c r="BC22" s="122"/>
      <c r="BD22" s="120"/>
      <c r="BE22" s="120"/>
      <c r="BF22" s="120"/>
      <c r="BG22" s="120"/>
      <c r="BH22" s="120"/>
      <c r="BI22" s="120"/>
      <c r="BJ22" s="125"/>
      <c r="BK22" s="126"/>
      <c r="BL22" s="126"/>
      <c r="BM22" s="126"/>
      <c r="BN22" s="126"/>
    </row>
    <row r="23" spans="1:66" ht="34.9" customHeight="1" x14ac:dyDescent="0.25">
      <c r="A23" s="51"/>
      <c r="B23" s="48"/>
      <c r="C23" s="50" t="s">
        <v>72</v>
      </c>
      <c r="D23" s="27" t="s">
        <v>56</v>
      </c>
      <c r="E23" s="38" t="s">
        <v>57</v>
      </c>
      <c r="F23" s="7">
        <f>ROUND(($E$7/12),2)</f>
        <v>4166.67</v>
      </c>
      <c r="G23" s="73">
        <f>ROUND(F23/$E$3,4)</f>
        <v>0.18179999999999999</v>
      </c>
      <c r="H23" s="73" t="s">
        <v>57</v>
      </c>
      <c r="I23" s="76">
        <f>G23</f>
        <v>0.18179999999999999</v>
      </c>
      <c r="J23" s="7">
        <f>ROUND(($E$7/12),2)</f>
        <v>4166.67</v>
      </c>
      <c r="K23" s="73">
        <f>J23/$E$3</f>
        <v>0.181818300826429</v>
      </c>
      <c r="L23" s="73" t="s">
        <v>57</v>
      </c>
      <c r="M23" s="76">
        <f>K23</f>
        <v>0.181818300826429</v>
      </c>
      <c r="N23" s="7">
        <f>ROUND(($E$7/12),2)</f>
        <v>4166.67</v>
      </c>
      <c r="O23" s="73">
        <f>N23/$E$3</f>
        <v>0.181818300826429</v>
      </c>
      <c r="P23" s="73" t="s">
        <v>57</v>
      </c>
      <c r="Q23" s="76">
        <f>O23</f>
        <v>0.181818300826429</v>
      </c>
      <c r="R23" s="7">
        <f>ROUND(($E$7/12),2)</f>
        <v>4166.67</v>
      </c>
      <c r="S23" s="73">
        <f>R23/$E$3</f>
        <v>0.181818300826429</v>
      </c>
      <c r="T23" s="73" t="s">
        <v>57</v>
      </c>
      <c r="U23" s="76">
        <f>S23</f>
        <v>0.181818300826429</v>
      </c>
      <c r="V23" s="7">
        <f>ROUND(($E$7/12),2)</f>
        <v>4166.67</v>
      </c>
      <c r="W23" s="73">
        <f>V23/$E$3</f>
        <v>0.181818300826429</v>
      </c>
      <c r="X23" s="73" t="s">
        <v>57</v>
      </c>
      <c r="Y23" s="76">
        <f>W23</f>
        <v>0.181818300826429</v>
      </c>
      <c r="Z23" s="7">
        <f>ROUND(($E$7/12),2)</f>
        <v>4166.67</v>
      </c>
      <c r="AA23" s="73">
        <f>Z23/$E$3</f>
        <v>0.181818300826429</v>
      </c>
      <c r="AB23" s="73" t="s">
        <v>57</v>
      </c>
      <c r="AC23" s="76">
        <f>AA23</f>
        <v>0.181818300826429</v>
      </c>
      <c r="AD23" s="7">
        <f>ROUND(($E$7/12),2)</f>
        <v>4166.67</v>
      </c>
      <c r="AE23" s="73">
        <f>AD23/$E$3</f>
        <v>0.181818300826429</v>
      </c>
      <c r="AF23" s="73" t="s">
        <v>57</v>
      </c>
      <c r="AG23" s="76">
        <f>AE23</f>
        <v>0.181818300826429</v>
      </c>
      <c r="AH23" s="7">
        <f>ROUND(($E$7/12),2)</f>
        <v>4166.67</v>
      </c>
      <c r="AI23" s="73">
        <f>AH23/$E$3</f>
        <v>0.181818300826429</v>
      </c>
      <c r="AJ23" s="73" t="s">
        <v>57</v>
      </c>
      <c r="AK23" s="76">
        <f>AI23</f>
        <v>0.181818300826429</v>
      </c>
      <c r="AL23" s="7">
        <f>ROUND(($E$7/12),2)</f>
        <v>4166.67</v>
      </c>
      <c r="AM23" s="73">
        <f>AL23/$E$3</f>
        <v>0.181818300826429</v>
      </c>
      <c r="AN23" s="73" t="s">
        <v>57</v>
      </c>
      <c r="AO23" s="76">
        <f>AM23</f>
        <v>0.181818300826429</v>
      </c>
      <c r="AP23" s="7">
        <f>ROUND(($E$7/12),2)</f>
        <v>4166.67</v>
      </c>
      <c r="AQ23" s="73">
        <f>AP23/$E$3</f>
        <v>0.181818300826429</v>
      </c>
      <c r="AR23" s="73" t="s">
        <v>57</v>
      </c>
      <c r="AS23" s="76">
        <f>AQ23</f>
        <v>0.181818300826429</v>
      </c>
      <c r="AT23" s="7">
        <f>ROUND(($E$7/12),2)</f>
        <v>4166.67</v>
      </c>
      <c r="AU23" s="73">
        <f>AT23/$E$3</f>
        <v>0.181818300826429</v>
      </c>
      <c r="AV23" s="73" t="s">
        <v>57</v>
      </c>
      <c r="AW23" s="76">
        <f>AU23</f>
        <v>0.181818300826429</v>
      </c>
      <c r="AX23" s="7">
        <f>ROUND(($E$7/12),2)</f>
        <v>4166.67</v>
      </c>
      <c r="AY23" s="73">
        <f>AX23/$E$3</f>
        <v>0.181818300826429</v>
      </c>
      <c r="AZ23" s="73" t="s">
        <v>57</v>
      </c>
      <c r="BA23" s="76">
        <f>AY23</f>
        <v>0.181818300826429</v>
      </c>
      <c r="BB23" s="37">
        <f>AX23+AT23+AP23+AL23+AH23+AD23+Z23+V23+R23+N23+J23+F23</f>
        <v>50000.039999999986</v>
      </c>
      <c r="BC23" s="94">
        <f>(COUNT(AP23:BA23)+COUNT(AD23:AO23)+COUNT(R23:AC23)+COUNT(F23:Q23))/3</f>
        <v>12</v>
      </c>
      <c r="BD23" s="9"/>
      <c r="BE23" s="10"/>
      <c r="BF23" s="10"/>
      <c r="BG23" s="10"/>
      <c r="BH23" s="10"/>
      <c r="BI23" s="102" t="s">
        <v>73</v>
      </c>
      <c r="BJ23" s="95"/>
      <c r="BN23" s="11"/>
    </row>
    <row r="24" spans="1:66" ht="13" x14ac:dyDescent="0.25">
      <c r="A24" s="22"/>
      <c r="B24" s="34"/>
      <c r="C24" s="25" t="s">
        <v>74</v>
      </c>
      <c r="D24" s="12"/>
      <c r="E24" s="37"/>
      <c r="F24" s="7">
        <f>SUM(F11:F23)</f>
        <v>22916.67</v>
      </c>
      <c r="G24" s="72">
        <f>ROUND(SUM(G11:G23),4)</f>
        <v>0.99990000000000001</v>
      </c>
      <c r="H24" s="72">
        <f>ROUND(SUM(H11:H23),4)</f>
        <v>1</v>
      </c>
      <c r="I24" s="85">
        <f>ROUND(SUM(I11:I23),4)</f>
        <v>0.99990000000000001</v>
      </c>
      <c r="J24" s="7">
        <f>SUM(J11:J23)</f>
        <v>22916.67</v>
      </c>
      <c r="K24" s="72">
        <f>ROUND(SUM(K11:K23),4)</f>
        <v>0.99990000000000001</v>
      </c>
      <c r="L24" s="72">
        <f>ROUND(SUM(L11:L23),4)</f>
        <v>1</v>
      </c>
      <c r="M24" s="85">
        <f>ROUND(SUM(M11:M23),4)</f>
        <v>0.99990000000000001</v>
      </c>
      <c r="N24" s="7">
        <f>SUM(N11:N23)</f>
        <v>22916.67</v>
      </c>
      <c r="O24" s="72">
        <f>ROUND(SUM(O11:O23),4)</f>
        <v>0.99990000000000001</v>
      </c>
      <c r="P24" s="72">
        <f>ROUND(SUM(P11:P23),4)</f>
        <v>1</v>
      </c>
      <c r="Q24" s="85">
        <f>ROUND(SUM(Q11:Q23),4)</f>
        <v>0.99990000000000001</v>
      </c>
      <c r="R24" s="7">
        <f>SUM(R11:R23)</f>
        <v>22916.67</v>
      </c>
      <c r="S24" s="72">
        <f>ROUND(SUM(S11:S23),4)</f>
        <v>0.99990000000000001</v>
      </c>
      <c r="T24" s="72">
        <f>ROUND(SUM(T11:T23),4)</f>
        <v>1</v>
      </c>
      <c r="U24" s="85">
        <f>ROUND(SUM(U11:U23),4)</f>
        <v>0.99990000000000001</v>
      </c>
      <c r="V24" s="7">
        <f>SUM(V11:V23)</f>
        <v>22916.67</v>
      </c>
      <c r="W24" s="72">
        <f>ROUND(SUM(W11:W23),4)</f>
        <v>0.99990000000000001</v>
      </c>
      <c r="X24" s="72">
        <f>ROUND(SUM(X11:X23),4)</f>
        <v>1</v>
      </c>
      <c r="Y24" s="85">
        <f>ROUND(SUM(Y11:Y23),4)</f>
        <v>0.99990000000000001</v>
      </c>
      <c r="Z24" s="7">
        <f>SUM(Z11:Z23)</f>
        <v>22916.67</v>
      </c>
      <c r="AA24" s="72">
        <f>ROUND(SUM(AA11:AA23),4)</f>
        <v>0.99990000000000001</v>
      </c>
      <c r="AB24" s="72">
        <f>ROUND(SUM(AB11:AB23),4)</f>
        <v>1</v>
      </c>
      <c r="AC24" s="85">
        <f>ROUND(SUM(AC11:AC23),4)</f>
        <v>0.99990000000000001</v>
      </c>
      <c r="AD24" s="7">
        <f>SUM(AD11:AD23)</f>
        <v>22916.67</v>
      </c>
      <c r="AE24" s="72">
        <f>ROUND(SUM(AE11:AE23),4)</f>
        <v>0.99990000000000001</v>
      </c>
      <c r="AF24" s="72">
        <f>ROUND(SUM(AF11:AF23),4)</f>
        <v>1</v>
      </c>
      <c r="AG24" s="85">
        <f>ROUND(SUM(AG11:AG23),4)</f>
        <v>0.99990000000000001</v>
      </c>
      <c r="AH24" s="7">
        <f>SUM(AH11:AH23)</f>
        <v>22916.67</v>
      </c>
      <c r="AI24" s="72">
        <f>ROUND(SUM(AI11:AI23),4)</f>
        <v>0.99990000000000001</v>
      </c>
      <c r="AJ24" s="72">
        <f>ROUND(SUM(AJ11:AJ23),4)</f>
        <v>1</v>
      </c>
      <c r="AK24" s="85">
        <f>ROUND(SUM(AK11:AK23),4)</f>
        <v>0.99990000000000001</v>
      </c>
      <c r="AL24" s="7">
        <f>SUM(AL11:AL23)</f>
        <v>22916.67</v>
      </c>
      <c r="AM24" s="72">
        <f>ROUND(SUM(AM11:AM23),4)</f>
        <v>0.99990000000000001</v>
      </c>
      <c r="AN24" s="72">
        <f>ROUND(SUM(AN11:AN23),4)</f>
        <v>1</v>
      </c>
      <c r="AO24" s="85">
        <f>ROUND(SUM(AO11:AO23),4)</f>
        <v>0.99990000000000001</v>
      </c>
      <c r="AP24" s="7">
        <f>SUM(AP11:AP23)</f>
        <v>22916.67</v>
      </c>
      <c r="AQ24" s="72">
        <f>ROUND(SUM(AQ11:AQ23),4)</f>
        <v>0.99990000000000001</v>
      </c>
      <c r="AR24" s="72">
        <f>ROUND(SUM(AR11:AR23),4)</f>
        <v>1</v>
      </c>
      <c r="AS24" s="85">
        <f>ROUND(SUM(AS11:AS23),4)</f>
        <v>0.99990000000000001</v>
      </c>
      <c r="AT24" s="7">
        <f>SUM(AT11:AT23)</f>
        <v>22916.67</v>
      </c>
      <c r="AU24" s="72">
        <f>ROUND(SUM(AU11:AU23),4)</f>
        <v>0.99990000000000001</v>
      </c>
      <c r="AV24" s="72">
        <f>ROUND(SUM(AV11:AV23),4)</f>
        <v>1</v>
      </c>
      <c r="AW24" s="85">
        <f>ROUND(SUM(AW11:AW23),4)</f>
        <v>0.99990000000000001</v>
      </c>
      <c r="AX24" s="7">
        <f>SUM(AX11:AX23)</f>
        <v>22916.67</v>
      </c>
      <c r="AY24" s="72">
        <f>ROUND(SUM(AY11:AY23),4)</f>
        <v>0.99990000000000001</v>
      </c>
      <c r="AZ24" s="72">
        <f>ROUND(SUM(AZ11:AZ23),4)</f>
        <v>1</v>
      </c>
      <c r="BA24" s="85">
        <f>ROUND(SUM(BA11:BA23),4)</f>
        <v>0.99990000000000001</v>
      </c>
      <c r="BB24" s="84">
        <f>SUM(BB11:BB23)</f>
        <v>275000.03999999998</v>
      </c>
      <c r="BC24" s="94"/>
      <c r="BD24" s="8"/>
      <c r="BE24" s="8"/>
      <c r="BF24" s="8"/>
      <c r="BG24" s="8"/>
      <c r="BH24" s="8"/>
      <c r="BI24" s="67"/>
      <c r="BJ24" s="17"/>
    </row>
    <row r="25" spans="1:66" x14ac:dyDescent="0.25">
      <c r="A25" s="22"/>
      <c r="B25" s="34"/>
      <c r="C25" s="25"/>
      <c r="D25" s="14"/>
      <c r="E25" s="39"/>
      <c r="F25" s="41" t="b">
        <f>IF(ROUND(F24,-1)=ROUND($E$3,-1),TRUE)</f>
        <v>1</v>
      </c>
      <c r="G25" s="14" t="b">
        <f>IF(ROUND(G24,2)=ROUND(100%,2),TRUE)</f>
        <v>1</v>
      </c>
      <c r="H25" s="14" t="b">
        <f>IF(ROUND(H24,2)=ROUND(100%,2),TRUE)</f>
        <v>1</v>
      </c>
      <c r="I25" s="29" t="b">
        <f>IF(ROUND(I24,2)=ROUND(100%,2),TRUE)</f>
        <v>1</v>
      </c>
      <c r="J25" s="41" t="b">
        <f>IF(ROUND(J24,-1)=ROUND($E$3,-1),TRUE)</f>
        <v>1</v>
      </c>
      <c r="K25" s="14" t="b">
        <f>IF(ROUND(K24,2)=ROUND(100%,2),TRUE)</f>
        <v>1</v>
      </c>
      <c r="L25" s="14" t="b">
        <f>IF(ROUND(L24,2)=ROUND(100%,2),TRUE)</f>
        <v>1</v>
      </c>
      <c r="M25" s="29" t="b">
        <f>IF(ROUND(M24,2)=ROUND(100%,2),TRUE)</f>
        <v>1</v>
      </c>
      <c r="N25" s="41" t="b">
        <f>IF(ROUND(N24,-1)=ROUND($E$3,-1),TRUE)</f>
        <v>1</v>
      </c>
      <c r="O25" s="14" t="b">
        <f>IF(ROUND(O24,2)=ROUND(100%,2),TRUE)</f>
        <v>1</v>
      </c>
      <c r="P25" s="14" t="b">
        <f>IF(ROUND(P24,2)=ROUND(100%,2),TRUE)</f>
        <v>1</v>
      </c>
      <c r="Q25" s="29" t="b">
        <f>IF(ROUND(Q24,2)=ROUND(100%,2),TRUE)</f>
        <v>1</v>
      </c>
      <c r="R25" s="41" t="b">
        <f>IF(ROUND(R24,-1)=ROUND($E$3,-1),TRUE)</f>
        <v>1</v>
      </c>
      <c r="S25" s="14" t="b">
        <f>IF(ROUND(S24,2)=ROUND(100%,2),TRUE)</f>
        <v>1</v>
      </c>
      <c r="T25" s="14" t="b">
        <f>IF(ROUND(T24,2)=ROUND(100%,2),TRUE)</f>
        <v>1</v>
      </c>
      <c r="U25" s="29" t="b">
        <f>IF(ROUND(U24,2)=ROUND(100%,2),TRUE)</f>
        <v>1</v>
      </c>
      <c r="V25" s="41" t="b">
        <f>IF(ROUND(V24,-1)=ROUND($E$3,-1),TRUE)</f>
        <v>1</v>
      </c>
      <c r="W25" s="14" t="b">
        <f>IF(ROUND(W24,2)=ROUND(100%,2),TRUE)</f>
        <v>1</v>
      </c>
      <c r="X25" s="14" t="b">
        <f>IF(ROUND(X24,2)=ROUND(100%,2),TRUE)</f>
        <v>1</v>
      </c>
      <c r="Y25" s="29" t="b">
        <f>IF(ROUND(Y24,2)=ROUND(100%,2),TRUE)</f>
        <v>1</v>
      </c>
      <c r="Z25" s="41" t="b">
        <f>IF(ROUND(Z24,-1)=ROUND($E$3,-1),TRUE)</f>
        <v>1</v>
      </c>
      <c r="AA25" s="14" t="b">
        <f>IF(ROUND(AA24,2)=ROUND(100%,2),TRUE)</f>
        <v>1</v>
      </c>
      <c r="AB25" s="14" t="b">
        <f>IF(ROUND(AB24,2)=ROUND(100%,2),TRUE)</f>
        <v>1</v>
      </c>
      <c r="AC25" s="29" t="b">
        <f>IF(ROUND(AC24,2)=ROUND(100%,2),TRUE)</f>
        <v>1</v>
      </c>
      <c r="AD25" s="41" t="b">
        <f>IF(ROUND(AD24,-1)=ROUND($E$3,-1),TRUE)</f>
        <v>1</v>
      </c>
      <c r="AE25" s="14" t="b">
        <f>IF(ROUND(AE24,2)=ROUND(100%,2),TRUE)</f>
        <v>1</v>
      </c>
      <c r="AF25" s="14" t="b">
        <f>IF(ROUND(AF24,2)=ROUND(100%,2),TRUE)</f>
        <v>1</v>
      </c>
      <c r="AG25" s="29" t="b">
        <f>IF(ROUND(AG24,2)=ROUND(100%,2),TRUE)</f>
        <v>1</v>
      </c>
      <c r="AH25" s="41" t="b">
        <f>IF(ROUND(AH24,-1)=ROUND($E$3,-1),TRUE)</f>
        <v>1</v>
      </c>
      <c r="AI25" s="14" t="b">
        <f>IF(ROUND(AI24,2)=ROUND(100%,2),TRUE)</f>
        <v>1</v>
      </c>
      <c r="AJ25" s="14" t="b">
        <f>IF(ROUND(AJ24,2)=ROUND(100%,2),TRUE)</f>
        <v>1</v>
      </c>
      <c r="AK25" s="29" t="b">
        <f>IF(ROUND(AK24,2)=ROUND(100%,2),TRUE)</f>
        <v>1</v>
      </c>
      <c r="AL25" s="41" t="b">
        <f>IF(ROUND(AL24,-1)=ROUND($E$3,-1),TRUE)</f>
        <v>1</v>
      </c>
      <c r="AM25" s="14" t="b">
        <f>IF(ROUND(AM24,2)=ROUND(100%,2),TRUE)</f>
        <v>1</v>
      </c>
      <c r="AN25" s="14" t="b">
        <f>IF(ROUND(AN24,2)=ROUND(100%,2),TRUE)</f>
        <v>1</v>
      </c>
      <c r="AO25" s="29" t="b">
        <f>IF(ROUND(AO24,2)=ROUND(100%,2),TRUE)</f>
        <v>1</v>
      </c>
      <c r="AP25" s="41" t="b">
        <f>IF(ROUND(AP24,-1)=ROUND($E$3,-1),TRUE)</f>
        <v>1</v>
      </c>
      <c r="AQ25" s="14" t="b">
        <f>IF(ROUND(AQ24,2)=ROUND(100%,2),TRUE)</f>
        <v>1</v>
      </c>
      <c r="AR25" s="14" t="b">
        <f>IF(ROUND(AR24,2)=ROUND(100%,2),TRUE)</f>
        <v>1</v>
      </c>
      <c r="AS25" s="29" t="b">
        <f>IF(ROUND(AS24,2)=ROUND(100%,2),TRUE)</f>
        <v>1</v>
      </c>
      <c r="AT25" s="41" t="b">
        <f>IF(ROUND(AT24,-1)=ROUND($E$3,-1),TRUE)</f>
        <v>1</v>
      </c>
      <c r="AU25" s="14" t="b">
        <f>IF(ROUND(AU24,2)=ROUND(100%,2),TRUE)</f>
        <v>1</v>
      </c>
      <c r="AV25" s="14" t="b">
        <f>IF(ROUND(AV24,2)=ROUND(100%,2),TRUE)</f>
        <v>1</v>
      </c>
      <c r="AW25" s="29" t="b">
        <f>IF(ROUND(AW24,2)=ROUND(100%,2),TRUE)</f>
        <v>1</v>
      </c>
      <c r="AX25" s="41" t="b">
        <f>IF(ROUND(AX24,-1)=ROUND($E$3,-1),TRUE)</f>
        <v>1</v>
      </c>
      <c r="AY25" s="14" t="b">
        <f>IF(ROUND(AY24,2)=ROUND(100%,2),TRUE)</f>
        <v>1</v>
      </c>
      <c r="AZ25" s="14" t="b">
        <f>IF(ROUND(AZ24,2)=ROUND(100%,2),TRUE)</f>
        <v>1</v>
      </c>
      <c r="BA25" s="29" t="b">
        <f>IF(ROUND(BA24,2)=ROUND(100%,2),TRUE)</f>
        <v>1</v>
      </c>
      <c r="BB25" s="86" t="b">
        <f>IF(ROUND(BB24,-1)=ROUND($E$2,-1),TRUE)</f>
        <v>1</v>
      </c>
      <c r="BC25" s="40"/>
      <c r="BD25" s="8"/>
      <c r="BE25" s="8"/>
      <c r="BF25" s="8"/>
      <c r="BG25" s="8"/>
      <c r="BH25" s="8"/>
      <c r="BI25" s="67"/>
      <c r="BJ25" s="17"/>
    </row>
    <row r="26" spans="1:66" x14ac:dyDescent="0.25">
      <c r="A26" s="23" t="s">
        <v>75</v>
      </c>
      <c r="B26" s="60"/>
      <c r="C26" s="20"/>
      <c r="D26" s="61"/>
      <c r="E26" s="61"/>
      <c r="F26" s="41"/>
      <c r="G26" s="77"/>
      <c r="H26" s="77"/>
      <c r="I26" s="78"/>
      <c r="J26" s="41"/>
      <c r="K26" s="77"/>
      <c r="L26" s="77"/>
      <c r="M26" s="78"/>
      <c r="N26" s="41"/>
      <c r="O26" s="77"/>
      <c r="P26" s="77"/>
      <c r="Q26" s="78"/>
      <c r="R26" s="41"/>
      <c r="S26" s="77"/>
      <c r="T26" s="77"/>
      <c r="U26" s="78"/>
      <c r="V26" s="41"/>
      <c r="W26" s="77"/>
      <c r="X26" s="77"/>
      <c r="Y26" s="78"/>
      <c r="Z26" s="41"/>
      <c r="AA26" s="77"/>
      <c r="AB26" s="77"/>
      <c r="AC26" s="78"/>
      <c r="AD26" s="41"/>
      <c r="AE26" s="77"/>
      <c r="AF26" s="77"/>
      <c r="AG26" s="78"/>
      <c r="AH26" s="41"/>
      <c r="AI26" s="77"/>
      <c r="AJ26" s="77"/>
      <c r="AK26" s="78"/>
      <c r="AL26" s="41"/>
      <c r="AM26" s="77"/>
      <c r="AN26" s="77"/>
      <c r="AO26" s="78"/>
      <c r="AP26" s="41"/>
      <c r="AQ26" s="77"/>
      <c r="AR26" s="77"/>
      <c r="AS26" s="78"/>
      <c r="AT26" s="41"/>
      <c r="AU26" s="77"/>
      <c r="AV26" s="77"/>
      <c r="AW26" s="78"/>
      <c r="AX26" s="41"/>
      <c r="AY26" s="77"/>
      <c r="AZ26" s="77"/>
      <c r="BA26" s="78"/>
      <c r="BB26" s="39"/>
      <c r="BC26" s="40"/>
      <c r="BD26" s="8"/>
      <c r="BE26" s="8"/>
      <c r="BF26" s="8"/>
      <c r="BG26" s="8"/>
      <c r="BH26" s="8"/>
      <c r="BI26" s="67"/>
      <c r="BJ26" s="17"/>
    </row>
    <row r="27" spans="1:66" x14ac:dyDescent="0.25">
      <c r="A27" s="22"/>
      <c r="B27" s="53"/>
      <c r="C27" s="54" t="s">
        <v>76</v>
      </c>
      <c r="D27" s="55"/>
      <c r="E27" s="56"/>
      <c r="F27" s="16">
        <f>SUM(F19:F21)</f>
        <v>2390.2200000000003</v>
      </c>
      <c r="G27" s="79">
        <f>SUM(G19:G21)</f>
        <v>0.1043</v>
      </c>
      <c r="H27" s="73">
        <f>ROUND(F27/($E$6/12),4)</f>
        <v>0.1275</v>
      </c>
      <c r="I27" s="80"/>
      <c r="J27" s="16">
        <f>SUM(J19:J21)</f>
        <v>2390.2200000000003</v>
      </c>
      <c r="K27" s="79">
        <f>SUM(K19:K21)</f>
        <v>0.1043</v>
      </c>
      <c r="L27" s="73">
        <f>ROUND(J27/($E$6/12),4)</f>
        <v>0.1275</v>
      </c>
      <c r="M27" s="80"/>
      <c r="N27" s="16">
        <f>SUM(N19:N21)</f>
        <v>2390.2200000000003</v>
      </c>
      <c r="O27" s="79">
        <f>SUM(O19:O21)</f>
        <v>0.1043</v>
      </c>
      <c r="P27" s="73">
        <f>ROUND(N27/($E$6/12),4)</f>
        <v>0.1275</v>
      </c>
      <c r="Q27" s="80"/>
      <c r="R27" s="16">
        <f>SUM(R19:R21)</f>
        <v>2390.2200000000003</v>
      </c>
      <c r="S27" s="79">
        <f>SUM(S19:S21)</f>
        <v>0.1043</v>
      </c>
      <c r="T27" s="73">
        <f>ROUND(R27/($E$6/12),4)</f>
        <v>0.1275</v>
      </c>
      <c r="U27" s="80"/>
      <c r="V27" s="16">
        <f>SUM(V19:V21)</f>
        <v>2390.2200000000003</v>
      </c>
      <c r="W27" s="79">
        <f>SUM(W19:W21)</f>
        <v>0.1043</v>
      </c>
      <c r="X27" s="73">
        <f>ROUND(V27/($E$6/12),4)</f>
        <v>0.1275</v>
      </c>
      <c r="Y27" s="80"/>
      <c r="Z27" s="16">
        <f>SUM(Z19:Z21)</f>
        <v>2390.2200000000003</v>
      </c>
      <c r="AA27" s="79">
        <f>SUM(AA19:AA21)</f>
        <v>0.1043</v>
      </c>
      <c r="AB27" s="73">
        <f>ROUND(Z27/($E$6/12),4)</f>
        <v>0.1275</v>
      </c>
      <c r="AC27" s="80"/>
      <c r="AD27" s="16">
        <f>SUM(AD19:AD21)</f>
        <v>2390.2200000000003</v>
      </c>
      <c r="AE27" s="79">
        <f>SUM(AE19:AE21)</f>
        <v>0.1043</v>
      </c>
      <c r="AF27" s="73">
        <f>ROUND(AD27/($E$6/12),4)</f>
        <v>0.1275</v>
      </c>
      <c r="AG27" s="80"/>
      <c r="AH27" s="16">
        <f>SUM(AH19:AH21)</f>
        <v>2390.2200000000003</v>
      </c>
      <c r="AI27" s="79">
        <f>SUM(AI19:AI21)</f>
        <v>0.1043</v>
      </c>
      <c r="AJ27" s="73">
        <f>ROUND(AH27/($E$6/12),4)</f>
        <v>0.1275</v>
      </c>
      <c r="AK27" s="80"/>
      <c r="AL27" s="16">
        <f>SUM(AL19:AL21)</f>
        <v>2390.2200000000003</v>
      </c>
      <c r="AM27" s="79">
        <f>SUM(AM19:AM21)</f>
        <v>0.1043</v>
      </c>
      <c r="AN27" s="73">
        <f>ROUND(AL27/($E$6/12),4)</f>
        <v>0.1275</v>
      </c>
      <c r="AO27" s="80"/>
      <c r="AP27" s="16">
        <f>SUM(AP19:AP21)</f>
        <v>2390.2200000000003</v>
      </c>
      <c r="AQ27" s="79">
        <f>SUM(AQ19:AQ21)</f>
        <v>0.1043</v>
      </c>
      <c r="AR27" s="73">
        <f>ROUND(AP27/($E$6/12),4)</f>
        <v>0.1275</v>
      </c>
      <c r="AS27" s="80"/>
      <c r="AT27" s="16">
        <f>SUM(AT19:AT21)</f>
        <v>2390.2200000000003</v>
      </c>
      <c r="AU27" s="79">
        <f>SUM(AU19:AU21)</f>
        <v>0.1043</v>
      </c>
      <c r="AV27" s="73">
        <f>ROUND(AT27/($E$6/12),4)</f>
        <v>0.1275</v>
      </c>
      <c r="AW27" s="80"/>
      <c r="AX27" s="16">
        <f>SUM(AX19:AX21)</f>
        <v>2390.2200000000003</v>
      </c>
      <c r="AY27" s="79">
        <f>SUM(AY19:AY21)</f>
        <v>0.1043</v>
      </c>
      <c r="AZ27" s="73">
        <f>ROUND(AX27/($E$6/12),4)</f>
        <v>0.1275</v>
      </c>
      <c r="BA27" s="80"/>
      <c r="BB27" s="37">
        <f>AX27+AT27+AP27+AL27+AH27+AD27+Z27+V27+R27+N27+J27+F27</f>
        <v>28682.64000000001</v>
      </c>
      <c r="BC27" s="16"/>
      <c r="BD27" s="8"/>
      <c r="BE27" s="8"/>
      <c r="BF27" s="8"/>
      <c r="BG27" s="8"/>
      <c r="BH27" s="8"/>
      <c r="BI27" s="67"/>
      <c r="BJ27" s="17"/>
    </row>
    <row r="28" spans="1:66" ht="22.5" customHeight="1" thickBot="1" x14ac:dyDescent="0.3">
      <c r="A28" s="36"/>
      <c r="B28" s="57" t="s">
        <v>77</v>
      </c>
      <c r="C28" s="57" t="s">
        <v>78</v>
      </c>
      <c r="D28" s="58"/>
      <c r="E28" s="59"/>
      <c r="F28" s="42">
        <f>F27+F16</f>
        <v>3536.05</v>
      </c>
      <c r="G28" s="81">
        <f>G27+G17</f>
        <v>0.21240000000000001</v>
      </c>
      <c r="H28" s="82">
        <f>ROUND(F28/($E$6/12),4)</f>
        <v>0.18859999999999999</v>
      </c>
      <c r="I28" s="83"/>
      <c r="J28" s="42">
        <f>J27+J16</f>
        <v>3536.05</v>
      </c>
      <c r="K28" s="81">
        <f>K27+K17</f>
        <v>0.21240000000000001</v>
      </c>
      <c r="L28" s="82">
        <f>ROUND(J28/($E$6/12),4)</f>
        <v>0.18859999999999999</v>
      </c>
      <c r="M28" s="83"/>
      <c r="N28" s="42">
        <f>N27+N16</f>
        <v>3536.05</v>
      </c>
      <c r="O28" s="81">
        <f>O27+O17</f>
        <v>0.21240000000000001</v>
      </c>
      <c r="P28" s="82">
        <f>ROUND(N28/($E$6/12),4)</f>
        <v>0.18859999999999999</v>
      </c>
      <c r="Q28" s="83"/>
      <c r="R28" s="42">
        <f>R27+R16</f>
        <v>3536.05</v>
      </c>
      <c r="S28" s="81">
        <f>S27+S17</f>
        <v>0.21240000000000001</v>
      </c>
      <c r="T28" s="82">
        <f>ROUND(R28/($E$6/12),4)</f>
        <v>0.18859999999999999</v>
      </c>
      <c r="U28" s="83"/>
      <c r="V28" s="42">
        <f>V27+V16</f>
        <v>3536.05</v>
      </c>
      <c r="W28" s="81">
        <f>W27+W17</f>
        <v>0.21240000000000001</v>
      </c>
      <c r="X28" s="82">
        <f>ROUND(V28/($E$6/12),4)</f>
        <v>0.18859999999999999</v>
      </c>
      <c r="Y28" s="83"/>
      <c r="Z28" s="42">
        <f>Z27+Z16</f>
        <v>3536.05</v>
      </c>
      <c r="AA28" s="81">
        <f>AA27+AA17</f>
        <v>0.21240000000000001</v>
      </c>
      <c r="AB28" s="82">
        <f>ROUND(Z28/($E$6/12),4)</f>
        <v>0.18859999999999999</v>
      </c>
      <c r="AC28" s="83"/>
      <c r="AD28" s="42">
        <f>AD27+AD16</f>
        <v>3536.05</v>
      </c>
      <c r="AE28" s="81">
        <f>AE27+AE17</f>
        <v>0.21240000000000001</v>
      </c>
      <c r="AF28" s="82">
        <f>ROUND(AD28/($E$6/12),4)</f>
        <v>0.18859999999999999</v>
      </c>
      <c r="AG28" s="83"/>
      <c r="AH28" s="42">
        <f>AH27+AH16</f>
        <v>3536.05</v>
      </c>
      <c r="AI28" s="81">
        <f>AI27+AI17</f>
        <v>0.21240000000000001</v>
      </c>
      <c r="AJ28" s="82">
        <f>ROUND(AH28/($E$6/12),4)</f>
        <v>0.18859999999999999</v>
      </c>
      <c r="AK28" s="83"/>
      <c r="AL28" s="42">
        <f>AL27+AL16</f>
        <v>3536.05</v>
      </c>
      <c r="AM28" s="81">
        <f>AM27+AM17</f>
        <v>0.21240000000000001</v>
      </c>
      <c r="AN28" s="82">
        <f>ROUND(AL28/($E$6/12),4)</f>
        <v>0.18859999999999999</v>
      </c>
      <c r="AO28" s="83"/>
      <c r="AP28" s="42">
        <f>AP27+AP16</f>
        <v>3536.05</v>
      </c>
      <c r="AQ28" s="81">
        <f>AQ27+AQ17</f>
        <v>0.21240000000000001</v>
      </c>
      <c r="AR28" s="82">
        <f>ROUND(AP28/($E$6/12),4)</f>
        <v>0.18859999999999999</v>
      </c>
      <c r="AS28" s="83"/>
      <c r="AT28" s="42">
        <f>AT27+AT16</f>
        <v>3536.05</v>
      </c>
      <c r="AU28" s="81">
        <f>AU27+AU17</f>
        <v>0.21240000000000001</v>
      </c>
      <c r="AV28" s="82">
        <f>ROUND(AT28/($E$6/12),4)</f>
        <v>0.18859999999999999</v>
      </c>
      <c r="AW28" s="83"/>
      <c r="AX28" s="42">
        <f>AX27+AX16</f>
        <v>3536.05</v>
      </c>
      <c r="AY28" s="81">
        <f>AY27+AY17</f>
        <v>0.21240000000000001</v>
      </c>
      <c r="AZ28" s="82">
        <f>ROUND(AX28/($E$6/12),4)</f>
        <v>0.18859999999999999</v>
      </c>
      <c r="BA28" s="83"/>
      <c r="BB28" s="70">
        <f>AX28+AT28+AP28+AL28+AH28+AD28+Z28+V28+R28+N28+J28+F28</f>
        <v>42432.600000000006</v>
      </c>
      <c r="BC28" s="97"/>
      <c r="BD28" s="31"/>
      <c r="BE28" s="31"/>
      <c r="BF28" s="31"/>
      <c r="BG28" s="31"/>
      <c r="BH28" s="31"/>
      <c r="BI28" s="98"/>
      <c r="BJ28" s="52"/>
    </row>
    <row r="30" spans="1:66" ht="13" x14ac:dyDescent="0.25">
      <c r="A30" s="114" t="s">
        <v>79</v>
      </c>
      <c r="V30" s="3">
        <f>V24-R24</f>
        <v>0</v>
      </c>
    </row>
    <row r="31" spans="1:66" x14ac:dyDescent="0.25">
      <c r="A31" t="s">
        <v>81</v>
      </c>
    </row>
    <row r="32" spans="1:66" x14ac:dyDescent="0.25">
      <c r="A32" t="s">
        <v>80</v>
      </c>
    </row>
  </sheetData>
  <mergeCells count="12">
    <mergeCell ref="AH9:AK9"/>
    <mergeCell ref="AL9:AO9"/>
    <mergeCell ref="AP9:AS9"/>
    <mergeCell ref="AT9:AW9"/>
    <mergeCell ref="AX9:BA9"/>
    <mergeCell ref="AD9:AG9"/>
    <mergeCell ref="F9:I9"/>
    <mergeCell ref="J9:M9"/>
    <mergeCell ref="N9:Q9"/>
    <mergeCell ref="R9:U9"/>
    <mergeCell ref="V9:Y9"/>
    <mergeCell ref="Z9:AC9"/>
  </mergeCells>
  <phoneticPr fontId="0" type="noConversion"/>
  <printOptions horizontalCentered="1" verticalCentered="1"/>
  <pageMargins left="0.25" right="0.25" top="0.5" bottom="0.25" header="0.5" footer="0.25"/>
  <pageSetup scale="55" pageOrder="overThenDown" orientation="landscape" cellComments="asDisplayed" r:id="rId1"/>
  <headerFooter alignWithMargins="0">
    <oddHeader>&amp;C&amp;18FY 2012 Projected
Faculty Salary Distribution</oddHeader>
  </headerFooter>
  <colBreaks count="4" manualBreakCount="4">
    <brk id="17" max="28" man="1"/>
    <brk id="29" max="28" man="1"/>
    <brk id="41" max="28" man="1"/>
    <brk id="53" max="2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f922a171-7a3b-4cc9-826e-75190242b6ae" xsi:nil="true"/>
    <lcf76f155ced4ddcb4097134ff3c332f xmlns="f922a171-7a3b-4cc9-826e-75190242b6ae">
      <Terms xmlns="http://schemas.microsoft.com/office/infopath/2007/PartnerControls"/>
    </lcf76f155ced4ddcb4097134ff3c332f>
    <TaxCatchAll xmlns="efce84db-8738-4c7b-9bdc-65b9500871f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7AE59B1F0FA34EB3AFC42ECEE81518" ma:contentTypeVersion="15" ma:contentTypeDescription="Create a new document." ma:contentTypeScope="" ma:versionID="b32dc81c5d340e449f7dd75dd7bf49bc">
  <xsd:schema xmlns:xsd="http://www.w3.org/2001/XMLSchema" xmlns:xs="http://www.w3.org/2001/XMLSchema" xmlns:p="http://schemas.microsoft.com/office/2006/metadata/properties" xmlns:ns2="f922a171-7a3b-4cc9-826e-75190242b6ae" xmlns:ns3="2f8e0742-fa69-4e50-a673-d058ee295053" xmlns:ns4="efce84db-8738-4c7b-9bdc-65b9500871f6" targetNamespace="http://schemas.microsoft.com/office/2006/metadata/properties" ma:root="true" ma:fieldsID="c0112cd521e308623c85ebe7aa25aa5d" ns2:_="" ns3:_="" ns4:_="">
    <xsd:import namespace="f922a171-7a3b-4cc9-826e-75190242b6ae"/>
    <xsd:import namespace="2f8e0742-fa69-4e50-a673-d058ee295053"/>
    <xsd:import namespace="efce84db-8738-4c7b-9bdc-65b9500871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22a171-7a3b-4cc9-826e-75190242b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d55d72-5afa-45f9-90b6-e0708aeee9a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Notes" ma:index="19" nillable="true" ma:displayName="Notes" ma:format="Dropdown" ma:internalName="Notes">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e0742-fa69-4e50-a673-d058ee29505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ce84db-8738-4c7b-9bdc-65b9500871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3e2b0e3-5b72-4b38-9e82-ce6b4e88e1c5}" ma:internalName="TaxCatchAll" ma:showField="CatchAllData" ma:web="2f8e0742-fa69-4e50-a673-d058ee295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86C9D8-5FE2-43FF-9A14-11361DA0341C}">
  <ds:schemaRefs>
    <ds:schemaRef ds:uri="http://schemas.microsoft.com/office/2006/metadata/properties"/>
    <ds:schemaRef ds:uri="http://schemas.microsoft.com/office/infopath/2007/PartnerControls"/>
    <ds:schemaRef ds:uri="f922a171-7a3b-4cc9-826e-75190242b6ae"/>
    <ds:schemaRef ds:uri="efce84db-8738-4c7b-9bdc-65b9500871f6"/>
  </ds:schemaRefs>
</ds:datastoreItem>
</file>

<file path=customXml/itemProps2.xml><?xml version="1.0" encoding="utf-8"?>
<ds:datastoreItem xmlns:ds="http://schemas.openxmlformats.org/officeDocument/2006/customXml" ds:itemID="{A62DBE3F-4810-42B3-AF41-B7DF791228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22a171-7a3b-4cc9-826e-75190242b6ae"/>
    <ds:schemaRef ds:uri="2f8e0742-fa69-4e50-a673-d058ee295053"/>
    <ds:schemaRef ds:uri="efce84db-8738-4c7b-9bdc-65b9500871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90042F-1FCF-4922-9FF0-D787ABCD02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FSM 27</vt:lpstr>
      <vt:lpstr>'FSM 27'!Print_Area</vt:lpstr>
      <vt:lpstr>'FSM 27'!Print_Titles</vt:lpstr>
    </vt:vector>
  </TitlesOfParts>
  <Manager/>
  <Company>Northwestern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mgrana</dc:creator>
  <cp:keywords/>
  <dc:description/>
  <cp:lastModifiedBy>Christina F Mete</cp:lastModifiedBy>
  <cp:revision/>
  <dcterms:created xsi:type="dcterms:W3CDTF">2010-12-14T21:44:50Z</dcterms:created>
  <dcterms:modified xsi:type="dcterms:W3CDTF">2026-09-28T18:28:47Z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ebsite Page">
    <vt:lpwstr/>
  </property>
  <property fmtid="{D5CDD505-2E9C-101B-9397-08002B2CF9AE}" pid="3" name="ContentTypeId">
    <vt:lpwstr>0x010100FE7AE59B1F0FA34EB3AFC42ECEE81518</vt:lpwstr>
  </property>
  <property fmtid="{D5CDD505-2E9C-101B-9397-08002B2CF9AE}" pid="4" name="MediaServiceImageTags">
    <vt:lpwstr/>
  </property>
</Properties>
</file>